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JordansWork\TCF\CA_Carbon\Economics\GarciaCarbon_FinancialFeasibilityAnalysis\"/>
    </mc:Choice>
  </mc:AlternateContent>
  <bookViews>
    <workbookView xWindow="240" yWindow="150" windowWidth="20115" windowHeight="7995"/>
  </bookViews>
  <sheets>
    <sheet name="FinancialFeasAnalysis" sheetId="1" r:id="rId1"/>
    <sheet name="AssumptionSubstantiations" sheetId="2" r:id="rId2"/>
  </sheets>
  <calcPr calcId="152511"/>
</workbook>
</file>

<file path=xl/calcChain.xml><?xml version="1.0" encoding="utf-8"?>
<calcChain xmlns="http://schemas.openxmlformats.org/spreadsheetml/2006/main">
  <c r="E43" i="1" l="1"/>
  <c r="E41" i="1"/>
  <c r="E27" i="1"/>
  <c r="K15" i="2" l="1"/>
  <c r="M15" i="2" s="1"/>
  <c r="N15" i="2" s="1"/>
  <c r="E15" i="1" s="1"/>
  <c r="S9" i="2"/>
  <c r="S8" i="2"/>
  <c r="S13" i="2" l="1"/>
  <c r="S14" i="2" s="1"/>
  <c r="E14" i="1" s="1"/>
  <c r="N3" i="1"/>
  <c r="O3" i="1"/>
  <c r="M3" i="1"/>
  <c r="D10" i="1"/>
  <c r="C10" i="1"/>
  <c r="B10" i="1"/>
  <c r="E37" i="1" l="1"/>
  <c r="F37" i="1" s="1"/>
  <c r="E51" i="1"/>
  <c r="F51" i="1" s="1"/>
  <c r="B54" i="1" l="1"/>
  <c r="B55" i="1" l="1"/>
  <c r="C55" i="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5" i="1" s="1"/>
  <c r="C116" i="1" s="1"/>
  <c r="C117" i="1" s="1"/>
  <c r="C118" i="1" s="1"/>
  <c r="C119" i="1" s="1"/>
  <c r="C120" i="1" s="1"/>
  <c r="C121" i="1" s="1"/>
  <c r="C122" i="1" s="1"/>
  <c r="B56" i="1" l="1"/>
  <c r="E23" i="1"/>
  <c r="R3" i="1" s="1"/>
  <c r="B57" i="1" l="1"/>
  <c r="E42" i="1"/>
  <c r="F42" i="1" s="1"/>
  <c r="F43" i="1"/>
  <c r="E44" i="1"/>
  <c r="F44" i="1" s="1"/>
  <c r="E45" i="1"/>
  <c r="F45" i="1" s="1"/>
  <c r="E46" i="1"/>
  <c r="F46" i="1" s="1"/>
  <c r="E47" i="1"/>
  <c r="F47" i="1" s="1"/>
  <c r="E48" i="1"/>
  <c r="F48" i="1" s="1"/>
  <c r="E49" i="1"/>
  <c r="F49" i="1" s="1"/>
  <c r="E50" i="1"/>
  <c r="F50" i="1" s="1"/>
  <c r="F41" i="1"/>
  <c r="E30" i="1"/>
  <c r="F30" i="1" s="1"/>
  <c r="E28" i="1"/>
  <c r="F28" i="1" s="1"/>
  <c r="E29" i="1"/>
  <c r="F29" i="1" s="1"/>
  <c r="E31" i="1"/>
  <c r="F31" i="1" s="1"/>
  <c r="E32" i="1"/>
  <c r="F32" i="1" s="1"/>
  <c r="E33" i="1"/>
  <c r="F33" i="1" s="1"/>
  <c r="E34" i="1"/>
  <c r="F34" i="1" s="1"/>
  <c r="E35" i="1"/>
  <c r="F35" i="1" s="1"/>
  <c r="E36" i="1"/>
  <c r="F36" i="1" s="1"/>
  <c r="F27" i="1"/>
  <c r="C42" i="1"/>
  <c r="B42" i="1"/>
  <c r="B43" i="1" s="1"/>
  <c r="B44" i="1" s="1"/>
  <c r="B45" i="1" s="1"/>
  <c r="B46" i="1" s="1"/>
  <c r="B47" i="1" s="1"/>
  <c r="B48" i="1" s="1"/>
  <c r="B49" i="1" s="1"/>
  <c r="B50" i="1" s="1"/>
  <c r="B51" i="1" s="1"/>
  <c r="C28" i="1"/>
  <c r="B28" i="1"/>
  <c r="B29" i="1" s="1"/>
  <c r="B30" i="1" s="1"/>
  <c r="B31" i="1" s="1"/>
  <c r="B32" i="1" s="1"/>
  <c r="B33" i="1" s="1"/>
  <c r="B34" i="1" s="1"/>
  <c r="B35" i="1" s="1"/>
  <c r="B36" i="1" s="1"/>
  <c r="B37" i="1" s="1"/>
  <c r="O4" i="1"/>
  <c r="O5" i="1" s="1"/>
  <c r="O6" i="1" s="1"/>
  <c r="O7" i="1" s="1"/>
  <c r="O8" i="1" s="1"/>
  <c r="O9" i="1" s="1"/>
  <c r="O10" i="1" s="1"/>
  <c r="O11" i="1" s="1"/>
  <c r="O12" i="1" s="1"/>
  <c r="O13" i="1" s="1"/>
  <c r="O14" i="1" s="1"/>
  <c r="O15" i="1" s="1"/>
  <c r="O16" i="1" s="1"/>
  <c r="O17" i="1" s="1"/>
  <c r="O18" i="1" s="1"/>
  <c r="O19" i="1" s="1"/>
  <c r="O20" i="1" s="1"/>
  <c r="O21" i="1" s="1"/>
  <c r="O22" i="1" s="1"/>
  <c r="O23" i="1" s="1"/>
  <c r="O24" i="1" s="1"/>
  <c r="O25" i="1" s="1"/>
  <c r="O26" i="1" s="1"/>
  <c r="O27" i="1" s="1"/>
  <c r="O28" i="1" s="1"/>
  <c r="O29" i="1" s="1"/>
  <c r="O30" i="1" s="1"/>
  <c r="O31" i="1" s="1"/>
  <c r="O32" i="1" s="1"/>
  <c r="O33" i="1" s="1"/>
  <c r="O34" i="1" s="1"/>
  <c r="O35" i="1" s="1"/>
  <c r="O36" i="1" s="1"/>
  <c r="O37" i="1" s="1"/>
  <c r="O38" i="1" s="1"/>
  <c r="O39" i="1" s="1"/>
  <c r="O40" i="1" s="1"/>
  <c r="O41" i="1" s="1"/>
  <c r="O42" i="1" s="1"/>
  <c r="O43" i="1" s="1"/>
  <c r="O44" i="1" s="1"/>
  <c r="O45" i="1" s="1"/>
  <c r="O46" i="1" s="1"/>
  <c r="O47" i="1" s="1"/>
  <c r="O48" i="1" s="1"/>
  <c r="O49" i="1" s="1"/>
  <c r="O50" i="1" s="1"/>
  <c r="O51" i="1" s="1"/>
  <c r="O52" i="1" s="1"/>
  <c r="O53" i="1" s="1"/>
  <c r="O54" i="1" s="1"/>
  <c r="O55" i="1" s="1"/>
  <c r="O56" i="1" s="1"/>
  <c r="O57" i="1" s="1"/>
  <c r="O58" i="1" s="1"/>
  <c r="O59" i="1" s="1"/>
  <c r="O60" i="1" s="1"/>
  <c r="O61" i="1" s="1"/>
  <c r="O62" i="1" s="1"/>
  <c r="O63" i="1" s="1"/>
  <c r="O64" i="1" s="1"/>
  <c r="O65" i="1" s="1"/>
  <c r="O66" i="1" s="1"/>
  <c r="O67" i="1" s="1"/>
  <c r="O68" i="1" s="1"/>
  <c r="O69" i="1" s="1"/>
  <c r="O70" i="1" s="1"/>
  <c r="O71" i="1" s="1"/>
  <c r="O72" i="1" s="1"/>
  <c r="O73" i="1" s="1"/>
  <c r="O74" i="1" s="1"/>
  <c r="O75" i="1" s="1"/>
  <c r="O76" i="1" s="1"/>
  <c r="O77" i="1" s="1"/>
  <c r="O78" i="1" s="1"/>
  <c r="O79" i="1" s="1"/>
  <c r="O80" i="1" s="1"/>
  <c r="O81" i="1" s="1"/>
  <c r="O82" i="1" s="1"/>
  <c r="O83" i="1" s="1"/>
  <c r="O84" i="1" s="1"/>
  <c r="O85" i="1" s="1"/>
  <c r="O86" i="1" s="1"/>
  <c r="O87" i="1" s="1"/>
  <c r="O88" i="1" s="1"/>
  <c r="O89" i="1" s="1"/>
  <c r="O90" i="1" s="1"/>
  <c r="O91" i="1" s="1"/>
  <c r="O92" i="1" s="1"/>
  <c r="O93" i="1" s="1"/>
  <c r="O94" i="1" s="1"/>
  <c r="O95" i="1" s="1"/>
  <c r="O96" i="1" s="1"/>
  <c r="O97" i="1" s="1"/>
  <c r="O98" i="1" s="1"/>
  <c r="O99" i="1" s="1"/>
  <c r="O100" i="1" s="1"/>
  <c r="O101" i="1" s="1"/>
  <c r="O102" i="1" s="1"/>
  <c r="O103" i="1" s="1"/>
  <c r="O104" i="1" s="1"/>
  <c r="O105" i="1" s="1"/>
  <c r="O106" i="1" s="1"/>
  <c r="O107" i="1" s="1"/>
  <c r="O108" i="1" s="1"/>
  <c r="O109" i="1" s="1"/>
  <c r="O110" i="1" s="1"/>
  <c r="O111" i="1" s="1"/>
  <c r="O112" i="1" s="1"/>
  <c r="O113" i="1" s="1"/>
  <c r="O114" i="1" s="1"/>
  <c r="N4" i="1"/>
  <c r="N5" i="1" s="1"/>
  <c r="N6" i="1" s="1"/>
  <c r="N7" i="1" s="1"/>
  <c r="N8" i="1" s="1"/>
  <c r="N9" i="1" s="1"/>
  <c r="N10" i="1" s="1"/>
  <c r="N11" i="1" s="1"/>
  <c r="N12" i="1" s="1"/>
  <c r="N13" i="1" s="1"/>
  <c r="N14" i="1" s="1"/>
  <c r="N15" i="1" s="1"/>
  <c r="N16" i="1" s="1"/>
  <c r="N17" i="1" s="1"/>
  <c r="N18" i="1" s="1"/>
  <c r="N19" i="1" s="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68" i="1" s="1"/>
  <c r="N69" i="1" s="1"/>
  <c r="N70" i="1" s="1"/>
  <c r="N71" i="1" s="1"/>
  <c r="N72" i="1" s="1"/>
  <c r="N73" i="1" s="1"/>
  <c r="N74" i="1" s="1"/>
  <c r="N75" i="1" s="1"/>
  <c r="N76" i="1" s="1"/>
  <c r="N77" i="1" s="1"/>
  <c r="N78" i="1" s="1"/>
  <c r="N79" i="1" s="1"/>
  <c r="N80" i="1" s="1"/>
  <c r="N81" i="1" s="1"/>
  <c r="N82" i="1" s="1"/>
  <c r="N83" i="1" s="1"/>
  <c r="N84" i="1" s="1"/>
  <c r="N85" i="1" s="1"/>
  <c r="N86" i="1" s="1"/>
  <c r="N87" i="1" s="1"/>
  <c r="N88" i="1" s="1"/>
  <c r="N89" i="1" s="1"/>
  <c r="N90" i="1" s="1"/>
  <c r="N91" i="1" s="1"/>
  <c r="N92" i="1" s="1"/>
  <c r="N93" i="1" s="1"/>
  <c r="N94" i="1" s="1"/>
  <c r="N95" i="1" s="1"/>
  <c r="N96" i="1" s="1"/>
  <c r="N97" i="1" s="1"/>
  <c r="N98" i="1" s="1"/>
  <c r="N99" i="1" s="1"/>
  <c r="N100" i="1" s="1"/>
  <c r="N101" i="1" s="1"/>
  <c r="N102" i="1" s="1"/>
  <c r="N103" i="1" s="1"/>
  <c r="N104" i="1" s="1"/>
  <c r="N105" i="1" s="1"/>
  <c r="N106" i="1" s="1"/>
  <c r="N107" i="1" s="1"/>
  <c r="N108" i="1" s="1"/>
  <c r="N109" i="1" s="1"/>
  <c r="N110" i="1" s="1"/>
  <c r="N111" i="1" s="1"/>
  <c r="N112" i="1" s="1"/>
  <c r="N113" i="1" s="1"/>
  <c r="N114" i="1" s="1"/>
  <c r="M4" i="1"/>
  <c r="M5" i="1" s="1"/>
  <c r="M6" i="1" s="1"/>
  <c r="M7" i="1" s="1"/>
  <c r="H4" i="1"/>
  <c r="R4" i="1"/>
  <c r="R5" i="1" s="1"/>
  <c r="R6" i="1" s="1"/>
  <c r="R7" i="1" s="1"/>
  <c r="R8" i="1" s="1"/>
  <c r="B58" i="1" l="1"/>
  <c r="C43" i="1"/>
  <c r="C44" i="1" s="1"/>
  <c r="C45" i="1" s="1"/>
  <c r="C46" i="1" s="1"/>
  <c r="C47" i="1" s="1"/>
  <c r="C48" i="1" s="1"/>
  <c r="C49" i="1" s="1"/>
  <c r="C50" i="1" s="1"/>
  <c r="C29" i="1"/>
  <c r="C30" i="1" s="1"/>
  <c r="C31" i="1" s="1"/>
  <c r="C32" i="1" s="1"/>
  <c r="C33" i="1" s="1"/>
  <c r="C34" i="1" s="1"/>
  <c r="C35" i="1" s="1"/>
  <c r="C36" i="1" s="1"/>
  <c r="R9" i="1"/>
  <c r="M8" i="1"/>
  <c r="H5" i="1"/>
  <c r="B59" i="1" l="1"/>
  <c r="M9" i="1"/>
  <c r="R10" i="1"/>
  <c r="H6" i="1"/>
  <c r="B60" i="1" l="1"/>
  <c r="M10" i="1"/>
  <c r="R11" i="1"/>
  <c r="H7" i="1"/>
  <c r="B61" i="1" l="1"/>
  <c r="M11" i="1"/>
  <c r="R12" i="1"/>
  <c r="H8" i="1"/>
  <c r="B62" i="1" l="1"/>
  <c r="R13" i="1"/>
  <c r="M12" i="1"/>
  <c r="H9" i="1"/>
  <c r="B63" i="1" l="1"/>
  <c r="M13" i="1"/>
  <c r="R14" i="1"/>
  <c r="H10" i="1"/>
  <c r="B64" i="1" l="1"/>
  <c r="M14" i="1"/>
  <c r="R15" i="1"/>
  <c r="H11" i="1"/>
  <c r="B65" i="1" l="1"/>
  <c r="M15" i="1"/>
  <c r="R16" i="1"/>
  <c r="H12" i="1"/>
  <c r="B66" i="1" l="1"/>
  <c r="R17" i="1"/>
  <c r="M16" i="1"/>
  <c r="H13" i="1"/>
  <c r="B67" i="1" l="1"/>
  <c r="M17" i="1"/>
  <c r="R18" i="1"/>
  <c r="H14" i="1"/>
  <c r="B68" i="1" l="1"/>
  <c r="R19" i="1"/>
  <c r="M18" i="1"/>
  <c r="H15" i="1"/>
  <c r="B69" i="1" l="1"/>
  <c r="M19" i="1"/>
  <c r="R20" i="1"/>
  <c r="H16" i="1"/>
  <c r="B70" i="1" l="1"/>
  <c r="R21" i="1"/>
  <c r="M20" i="1"/>
  <c r="H17" i="1"/>
  <c r="B71" i="1" l="1"/>
  <c r="R22" i="1"/>
  <c r="M21" i="1"/>
  <c r="H18" i="1"/>
  <c r="B72" i="1" l="1"/>
  <c r="M22" i="1"/>
  <c r="R23" i="1"/>
  <c r="H19" i="1"/>
  <c r="B73" i="1" l="1"/>
  <c r="R24" i="1"/>
  <c r="M23" i="1"/>
  <c r="H20" i="1"/>
  <c r="B74" i="1" l="1"/>
  <c r="R25" i="1"/>
  <c r="M24" i="1"/>
  <c r="H21" i="1"/>
  <c r="B75" i="1" l="1"/>
  <c r="R26" i="1"/>
  <c r="M25" i="1"/>
  <c r="H22" i="1"/>
  <c r="B76" i="1" l="1"/>
  <c r="M26" i="1"/>
  <c r="R27" i="1"/>
  <c r="H23" i="1"/>
  <c r="B77" i="1" l="1"/>
  <c r="R28" i="1"/>
  <c r="M27" i="1"/>
  <c r="H24" i="1"/>
  <c r="B78" i="1" l="1"/>
  <c r="R29" i="1"/>
  <c r="M28" i="1"/>
  <c r="H25" i="1"/>
  <c r="B79" i="1" l="1"/>
  <c r="R30" i="1"/>
  <c r="M29" i="1"/>
  <c r="H26" i="1"/>
  <c r="B80" i="1" l="1"/>
  <c r="M30" i="1"/>
  <c r="R31" i="1"/>
  <c r="H27" i="1"/>
  <c r="B81" i="1" l="1"/>
  <c r="R32" i="1"/>
  <c r="M31" i="1"/>
  <c r="H28" i="1"/>
  <c r="B82" i="1" l="1"/>
  <c r="M32" i="1"/>
  <c r="R33" i="1"/>
  <c r="H29" i="1"/>
  <c r="B83" i="1" l="1"/>
  <c r="R34" i="1"/>
  <c r="M33" i="1"/>
  <c r="H30" i="1"/>
  <c r="B84" i="1" l="1"/>
  <c r="M34" i="1"/>
  <c r="R35" i="1"/>
  <c r="H31" i="1"/>
  <c r="B85" i="1" l="1"/>
  <c r="R36" i="1"/>
  <c r="M35" i="1"/>
  <c r="H32" i="1"/>
  <c r="B86" i="1" l="1"/>
  <c r="M36" i="1"/>
  <c r="R37" i="1"/>
  <c r="H33" i="1"/>
  <c r="B87" i="1" l="1"/>
  <c r="R38" i="1"/>
  <c r="M37" i="1"/>
  <c r="H34" i="1"/>
  <c r="B88" i="1" l="1"/>
  <c r="M38" i="1"/>
  <c r="R39" i="1"/>
  <c r="H35" i="1"/>
  <c r="B89" i="1" l="1"/>
  <c r="R40" i="1"/>
  <c r="M39" i="1"/>
  <c r="H36" i="1"/>
  <c r="B90" i="1" l="1"/>
  <c r="M40" i="1"/>
  <c r="R41" i="1"/>
  <c r="H37" i="1"/>
  <c r="B91" i="1" l="1"/>
  <c r="R42" i="1"/>
  <c r="M41" i="1"/>
  <c r="H38" i="1"/>
  <c r="B92" i="1" l="1"/>
  <c r="M42" i="1"/>
  <c r="R43" i="1"/>
  <c r="H39" i="1"/>
  <c r="B93" i="1" l="1"/>
  <c r="R44" i="1"/>
  <c r="M43" i="1"/>
  <c r="H40" i="1"/>
  <c r="B94" i="1" l="1"/>
  <c r="R45" i="1"/>
  <c r="M44" i="1"/>
  <c r="H41" i="1"/>
  <c r="B95" i="1" l="1"/>
  <c r="M45" i="1"/>
  <c r="R46" i="1"/>
  <c r="H42" i="1"/>
  <c r="B96" i="1" l="1"/>
  <c r="R47" i="1"/>
  <c r="M46" i="1"/>
  <c r="H43" i="1"/>
  <c r="B97" i="1" l="1"/>
  <c r="R48" i="1"/>
  <c r="M47" i="1"/>
  <c r="H44" i="1"/>
  <c r="B98" i="1" l="1"/>
  <c r="R49" i="1"/>
  <c r="M48" i="1"/>
  <c r="H45" i="1"/>
  <c r="B99" i="1" l="1"/>
  <c r="M49" i="1"/>
  <c r="R50" i="1"/>
  <c r="H46" i="1"/>
  <c r="B100" i="1" l="1"/>
  <c r="M50" i="1"/>
  <c r="R51" i="1"/>
  <c r="H47" i="1"/>
  <c r="B101" i="1" l="1"/>
  <c r="R52" i="1"/>
  <c r="M51" i="1"/>
  <c r="H48" i="1"/>
  <c r="B102" i="1" l="1"/>
  <c r="M52" i="1"/>
  <c r="R53" i="1"/>
  <c r="H49" i="1"/>
  <c r="B103" i="1" l="1"/>
  <c r="M53" i="1"/>
  <c r="R54" i="1"/>
  <c r="H50" i="1"/>
  <c r="B104" i="1" l="1"/>
  <c r="M54" i="1"/>
  <c r="R55" i="1"/>
  <c r="H51" i="1"/>
  <c r="B105" i="1" l="1"/>
  <c r="M55" i="1"/>
  <c r="R56" i="1"/>
  <c r="H52" i="1"/>
  <c r="B106" i="1" l="1"/>
  <c r="R57" i="1"/>
  <c r="M56" i="1"/>
  <c r="H53" i="1"/>
  <c r="B107" i="1" l="1"/>
  <c r="R58" i="1"/>
  <c r="M57" i="1"/>
  <c r="H54" i="1"/>
  <c r="B108" i="1" l="1"/>
  <c r="M58" i="1"/>
  <c r="R59" i="1"/>
  <c r="H55" i="1"/>
  <c r="B109" i="1" l="1"/>
  <c r="R60" i="1"/>
  <c r="M59" i="1"/>
  <c r="H56" i="1"/>
  <c r="B110" i="1" l="1"/>
  <c r="M60" i="1"/>
  <c r="R61" i="1"/>
  <c r="H57" i="1"/>
  <c r="B111" i="1" l="1"/>
  <c r="R62" i="1"/>
  <c r="M61" i="1"/>
  <c r="H58" i="1"/>
  <c r="B112" i="1" l="1"/>
  <c r="M62" i="1"/>
  <c r="R63" i="1"/>
  <c r="H59" i="1"/>
  <c r="B113" i="1" l="1"/>
  <c r="M63" i="1"/>
  <c r="R64" i="1"/>
  <c r="H60" i="1"/>
  <c r="B114" i="1" l="1"/>
  <c r="R65" i="1"/>
  <c r="M64" i="1"/>
  <c r="H61" i="1"/>
  <c r="B115" i="1" l="1"/>
  <c r="M65" i="1"/>
  <c r="R66" i="1"/>
  <c r="H62" i="1"/>
  <c r="B116" i="1" l="1"/>
  <c r="R67" i="1"/>
  <c r="M66" i="1"/>
  <c r="H63" i="1"/>
  <c r="B117" i="1" l="1"/>
  <c r="R68" i="1"/>
  <c r="M67" i="1"/>
  <c r="H64" i="1"/>
  <c r="B118" i="1" l="1"/>
  <c r="R69" i="1"/>
  <c r="M68" i="1"/>
  <c r="H65" i="1"/>
  <c r="B119" i="1" l="1"/>
  <c r="M69" i="1"/>
  <c r="R70" i="1"/>
  <c r="H66" i="1"/>
  <c r="B120" i="1" l="1"/>
  <c r="R71" i="1"/>
  <c r="M70" i="1"/>
  <c r="H67" i="1"/>
  <c r="B121" i="1" l="1"/>
  <c r="J63" i="1"/>
  <c r="J59" i="1"/>
  <c r="J64" i="1"/>
  <c r="J55" i="1"/>
  <c r="J61" i="1"/>
  <c r="J62" i="1"/>
  <c r="J56" i="1"/>
  <c r="J58" i="1"/>
  <c r="J60" i="1"/>
  <c r="J65" i="1"/>
  <c r="I67" i="1"/>
  <c r="J67" i="1"/>
  <c r="J66" i="1"/>
  <c r="R72" i="1"/>
  <c r="M71" i="1"/>
  <c r="H68" i="1"/>
  <c r="J68" i="1" l="1"/>
  <c r="I68" i="1"/>
  <c r="B122" i="1"/>
  <c r="I60" i="1"/>
  <c r="I64" i="1"/>
  <c r="I57" i="1"/>
  <c r="I63" i="1"/>
  <c r="I65" i="1"/>
  <c r="I61" i="1"/>
  <c r="I55" i="1"/>
  <c r="I62" i="1"/>
  <c r="I56" i="1"/>
  <c r="I59" i="1"/>
  <c r="I66" i="1"/>
  <c r="R73" i="1"/>
  <c r="M72" i="1"/>
  <c r="H69" i="1"/>
  <c r="K69" i="1" l="1"/>
  <c r="J69" i="1"/>
  <c r="I69" i="1"/>
  <c r="I4" i="1"/>
  <c r="K5" i="1"/>
  <c r="J6" i="1"/>
  <c r="I3" i="1"/>
  <c r="K8" i="1"/>
  <c r="K3" i="1"/>
  <c r="K4" i="1"/>
  <c r="J5" i="1"/>
  <c r="J4" i="1"/>
  <c r="J3" i="1"/>
  <c r="I7" i="1"/>
  <c r="I5" i="1"/>
  <c r="I6" i="1"/>
  <c r="K7" i="1"/>
  <c r="K6" i="1"/>
  <c r="J7" i="1"/>
  <c r="J8" i="1"/>
  <c r="I9" i="1"/>
  <c r="I10" i="1"/>
  <c r="I8" i="1"/>
  <c r="K9" i="1"/>
  <c r="K10" i="1"/>
  <c r="J12" i="1"/>
  <c r="J10" i="1"/>
  <c r="J9" i="1"/>
  <c r="J11" i="1"/>
  <c r="I11" i="1"/>
  <c r="I12" i="1"/>
  <c r="K11" i="1"/>
  <c r="K13" i="1"/>
  <c r="K14" i="1"/>
  <c r="K12" i="1"/>
  <c r="J13" i="1"/>
  <c r="J15" i="1"/>
  <c r="J14" i="1"/>
  <c r="I13" i="1"/>
  <c r="I15" i="1"/>
  <c r="I14" i="1"/>
  <c r="I16" i="1"/>
  <c r="K16" i="1"/>
  <c r="K15" i="1"/>
  <c r="J18" i="1"/>
  <c r="J17" i="1"/>
  <c r="J16" i="1"/>
  <c r="I18" i="1"/>
  <c r="I17" i="1"/>
  <c r="I19" i="1"/>
  <c r="K19" i="1"/>
  <c r="K17" i="1"/>
  <c r="K18" i="1"/>
  <c r="J20" i="1"/>
  <c r="J19" i="1"/>
  <c r="J24" i="1"/>
  <c r="J21" i="1"/>
  <c r="I20" i="1"/>
  <c r="I21" i="1"/>
  <c r="K23" i="1"/>
  <c r="K26" i="1"/>
  <c r="K21" i="1"/>
  <c r="K20" i="1"/>
  <c r="K22" i="1"/>
  <c r="J22" i="1"/>
  <c r="J27" i="1"/>
  <c r="J23" i="1"/>
  <c r="I22" i="1"/>
  <c r="I24" i="1"/>
  <c r="I23" i="1"/>
  <c r="K24" i="1"/>
  <c r="K25" i="1"/>
  <c r="J25" i="1"/>
  <c r="J26" i="1"/>
  <c r="I26" i="1"/>
  <c r="I25" i="1"/>
  <c r="I27" i="1"/>
  <c r="I28" i="1"/>
  <c r="K27" i="1"/>
  <c r="K29" i="1"/>
  <c r="K28" i="1"/>
  <c r="J28" i="1"/>
  <c r="J33" i="1"/>
  <c r="J29" i="1"/>
  <c r="I31" i="1"/>
  <c r="I30" i="1"/>
  <c r="I29" i="1"/>
  <c r="K31" i="1"/>
  <c r="K35" i="1"/>
  <c r="K30" i="1"/>
  <c r="J31" i="1"/>
  <c r="J32" i="1"/>
  <c r="J30" i="1"/>
  <c r="I32" i="1"/>
  <c r="I33" i="1"/>
  <c r="I34" i="1"/>
  <c r="K33" i="1"/>
  <c r="K32" i="1"/>
  <c r="K34" i="1"/>
  <c r="J34" i="1"/>
  <c r="J35" i="1"/>
  <c r="I36" i="1"/>
  <c r="I35" i="1"/>
  <c r="K37" i="1"/>
  <c r="K36" i="1"/>
  <c r="K38" i="1"/>
  <c r="J38" i="1"/>
  <c r="J36" i="1"/>
  <c r="J37" i="1"/>
  <c r="J39" i="1"/>
  <c r="I37" i="1"/>
  <c r="I40" i="1"/>
  <c r="I38" i="1"/>
  <c r="I39" i="1"/>
  <c r="K41" i="1"/>
  <c r="K40" i="1"/>
  <c r="K39" i="1"/>
  <c r="J40" i="1"/>
  <c r="J41" i="1"/>
  <c r="J42" i="1"/>
  <c r="I42" i="1"/>
  <c r="I41" i="1"/>
  <c r="K43" i="1"/>
  <c r="K47" i="1"/>
  <c r="K44" i="1"/>
  <c r="K42" i="1"/>
  <c r="J43" i="1"/>
  <c r="J44" i="1"/>
  <c r="I43" i="1"/>
  <c r="I45" i="1"/>
  <c r="I44" i="1"/>
  <c r="I46" i="1"/>
  <c r="K45" i="1"/>
  <c r="K46" i="1"/>
  <c r="J47" i="1"/>
  <c r="J46" i="1"/>
  <c r="J48" i="1"/>
  <c r="J45" i="1"/>
  <c r="I48" i="1"/>
  <c r="I49" i="1"/>
  <c r="I47" i="1"/>
  <c r="K49" i="1"/>
  <c r="K50" i="1"/>
  <c r="K48" i="1"/>
  <c r="J49" i="1"/>
  <c r="J50" i="1"/>
  <c r="I51" i="1"/>
  <c r="I50" i="1"/>
  <c r="I52" i="1"/>
  <c r="K53" i="1"/>
  <c r="K51" i="1"/>
  <c r="K52" i="1"/>
  <c r="J53" i="1"/>
  <c r="J51" i="1"/>
  <c r="J52" i="1"/>
  <c r="J54" i="1"/>
  <c r="J57" i="1"/>
  <c r="K65" i="1"/>
  <c r="L65" i="1" s="1"/>
  <c r="I54" i="1"/>
  <c r="I53" i="1"/>
  <c r="I58" i="1"/>
  <c r="K61" i="1"/>
  <c r="K64" i="1"/>
  <c r="P64" i="1" s="1"/>
  <c r="K59" i="1"/>
  <c r="L59" i="1" s="1"/>
  <c r="K54" i="1"/>
  <c r="K62" i="1"/>
  <c r="L62" i="1" s="1"/>
  <c r="K60" i="1"/>
  <c r="L60" i="1" s="1"/>
  <c r="K63" i="1"/>
  <c r="P63" i="1" s="1"/>
  <c r="K66" i="1"/>
  <c r="P66" i="1" s="1"/>
  <c r="K58" i="1"/>
  <c r="K55" i="1"/>
  <c r="L55" i="1" s="1"/>
  <c r="K57" i="1"/>
  <c r="K56" i="1"/>
  <c r="L56" i="1" s="1"/>
  <c r="K67" i="1"/>
  <c r="K68" i="1"/>
  <c r="L68" i="1" s="1"/>
  <c r="R74" i="1"/>
  <c r="M73" i="1"/>
  <c r="H70" i="1"/>
  <c r="S62" i="1" l="1"/>
  <c r="T62" i="1"/>
  <c r="S60" i="1"/>
  <c r="T60" i="1"/>
  <c r="S59" i="1"/>
  <c r="T59" i="1"/>
  <c r="S55" i="1"/>
  <c r="T55" i="1"/>
  <c r="S68" i="1"/>
  <c r="T68" i="1"/>
  <c r="P3" i="1"/>
  <c r="S65" i="1"/>
  <c r="T65" i="1"/>
  <c r="S56" i="1"/>
  <c r="T56" i="1"/>
  <c r="P57" i="1"/>
  <c r="P62" i="1"/>
  <c r="Q62" i="1" s="1"/>
  <c r="L24" i="1"/>
  <c r="U62" i="1"/>
  <c r="P56" i="1"/>
  <c r="Q56" i="1" s="1"/>
  <c r="P68" i="1"/>
  <c r="Q68" i="1" s="1"/>
  <c r="P59" i="1"/>
  <c r="Q59" i="1" s="1"/>
  <c r="U65" i="1"/>
  <c r="L57" i="1"/>
  <c r="L61" i="1"/>
  <c r="P65" i="1"/>
  <c r="Q65" i="1" s="1"/>
  <c r="P60" i="1"/>
  <c r="Q60" i="1" s="1"/>
  <c r="U68" i="1"/>
  <c r="U60" i="1"/>
  <c r="U56" i="1"/>
  <c r="U59" i="1"/>
  <c r="L44" i="1"/>
  <c r="P44" i="1"/>
  <c r="L64" i="1"/>
  <c r="T64" i="1" s="1"/>
  <c r="L45" i="1"/>
  <c r="P45" i="1"/>
  <c r="L20" i="1"/>
  <c r="P20" i="1"/>
  <c r="L58" i="1"/>
  <c r="P58" i="1"/>
  <c r="L48" i="1"/>
  <c r="P48" i="1"/>
  <c r="L21" i="1"/>
  <c r="P21" i="1"/>
  <c r="L41" i="1"/>
  <c r="T41" i="1" s="1"/>
  <c r="P41" i="1"/>
  <c r="L38" i="1"/>
  <c r="P38" i="1"/>
  <c r="L54" i="1"/>
  <c r="P54" i="1"/>
  <c r="L37" i="1"/>
  <c r="P37" i="1"/>
  <c r="L35" i="1"/>
  <c r="U35" i="1"/>
  <c r="P35" i="1"/>
  <c r="L13" i="1"/>
  <c r="P13" i="1"/>
  <c r="L5" i="1"/>
  <c r="S5" i="1" s="1"/>
  <c r="P5" i="1"/>
  <c r="L30" i="1"/>
  <c r="U30" i="1"/>
  <c r="P30" i="1"/>
  <c r="L10" i="1"/>
  <c r="S10" i="1" s="1"/>
  <c r="P10" i="1"/>
  <c r="L63" i="1"/>
  <c r="P55" i="1"/>
  <c r="Q55" i="1" s="1"/>
  <c r="L16" i="1"/>
  <c r="P16" i="1"/>
  <c r="L66" i="1"/>
  <c r="L43" i="1"/>
  <c r="P43" i="1"/>
  <c r="L17" i="1"/>
  <c r="P17" i="1"/>
  <c r="L34" i="1"/>
  <c r="P34" i="1"/>
  <c r="U34" i="1"/>
  <c r="L18" i="1"/>
  <c r="P18" i="1"/>
  <c r="Q18" i="1" s="1"/>
  <c r="L33" i="1"/>
  <c r="T33" i="1" s="1"/>
  <c r="P33" i="1"/>
  <c r="L8" i="1"/>
  <c r="S8" i="1" s="1"/>
  <c r="P8" i="1"/>
  <c r="P67" i="1"/>
  <c r="L67" i="1"/>
  <c r="P32" i="1"/>
  <c r="L23" i="1"/>
  <c r="P23" i="1"/>
  <c r="L11" i="1"/>
  <c r="S11" i="1" s="1"/>
  <c r="P11" i="1"/>
  <c r="L7" i="1"/>
  <c r="S7" i="1" s="1"/>
  <c r="P7" i="1"/>
  <c r="L52" i="1"/>
  <c r="P52" i="1"/>
  <c r="P47" i="1"/>
  <c r="L31" i="1"/>
  <c r="P31" i="1"/>
  <c r="L27" i="1"/>
  <c r="P27" i="1"/>
  <c r="P24" i="1"/>
  <c r="Q24" i="1" s="1"/>
  <c r="P9" i="1"/>
  <c r="P61" i="1"/>
  <c r="L69" i="1"/>
  <c r="T69" i="1" s="1"/>
  <c r="P69" i="1"/>
  <c r="U55" i="1"/>
  <c r="L51" i="1"/>
  <c r="P51" i="1"/>
  <c r="L26" i="1"/>
  <c r="P26" i="1"/>
  <c r="L39" i="1"/>
  <c r="U39" i="1"/>
  <c r="P39" i="1"/>
  <c r="L19" i="1"/>
  <c r="P19" i="1"/>
  <c r="L42" i="1"/>
  <c r="P42" i="1"/>
  <c r="U42" i="1"/>
  <c r="L14" i="1"/>
  <c r="S14" i="1" s="1"/>
  <c r="P14" i="1"/>
  <c r="L53" i="1"/>
  <c r="P53" i="1"/>
  <c r="L40" i="1"/>
  <c r="U40" i="1" s="1"/>
  <c r="P40" i="1"/>
  <c r="L15" i="1"/>
  <c r="U15" i="1"/>
  <c r="P15" i="1"/>
  <c r="L6" i="1"/>
  <c r="S6" i="1" s="1"/>
  <c r="P6" i="1"/>
  <c r="L29" i="1"/>
  <c r="U29" i="1" s="1"/>
  <c r="P29" i="1"/>
  <c r="L12" i="1"/>
  <c r="S12" i="1" s="1"/>
  <c r="P12" i="1"/>
  <c r="L3" i="1"/>
  <c r="T3" i="1" s="1"/>
  <c r="J70" i="1"/>
  <c r="K70" i="1"/>
  <c r="I70" i="1"/>
  <c r="L36" i="1"/>
  <c r="P36" i="1"/>
  <c r="L28" i="1"/>
  <c r="P28" i="1"/>
  <c r="L50" i="1"/>
  <c r="P50" i="1"/>
  <c r="L49" i="1"/>
  <c r="P49" i="1"/>
  <c r="L46" i="1"/>
  <c r="T46" i="1" s="1"/>
  <c r="P46" i="1"/>
  <c r="L47" i="1"/>
  <c r="L32" i="1"/>
  <c r="T32" i="1" s="1"/>
  <c r="L25" i="1"/>
  <c r="U25" i="1" s="1"/>
  <c r="P25" i="1"/>
  <c r="L22" i="1"/>
  <c r="T22" i="1" s="1"/>
  <c r="P22" i="1"/>
  <c r="L9" i="1"/>
  <c r="S9" i="1" s="1"/>
  <c r="L4" i="1"/>
  <c r="S4" i="1" s="1"/>
  <c r="P4" i="1"/>
  <c r="R75" i="1"/>
  <c r="M74" i="1"/>
  <c r="H71" i="1"/>
  <c r="Q12" i="1" l="1"/>
  <c r="Q61" i="1"/>
  <c r="Q8" i="1"/>
  <c r="Q29" i="1"/>
  <c r="S50" i="1"/>
  <c r="T50" i="1"/>
  <c r="S52" i="1"/>
  <c r="T52" i="1"/>
  <c r="S24" i="1"/>
  <c r="T24" i="1"/>
  <c r="U3" i="1"/>
  <c r="S49" i="1"/>
  <c r="T49" i="1"/>
  <c r="S29" i="1"/>
  <c r="T29" i="1"/>
  <c r="S40" i="1"/>
  <c r="T40" i="1"/>
  <c r="S51" i="1"/>
  <c r="T51" i="1"/>
  <c r="S27" i="1"/>
  <c r="T27" i="1"/>
  <c r="S63" i="1"/>
  <c r="T63" i="1"/>
  <c r="S54" i="1"/>
  <c r="T54" i="1"/>
  <c r="S48" i="1"/>
  <c r="T48" i="1"/>
  <c r="S61" i="1"/>
  <c r="T61" i="1"/>
  <c r="S23" i="1"/>
  <c r="T23" i="1"/>
  <c r="S43" i="1"/>
  <c r="T43" i="1"/>
  <c r="S39" i="1"/>
  <c r="T39" i="1"/>
  <c r="S18" i="1"/>
  <c r="T18" i="1"/>
  <c r="S66" i="1"/>
  <c r="T66" i="1"/>
  <c r="S35" i="1"/>
  <c r="T35" i="1"/>
  <c r="S20" i="1"/>
  <c r="T20" i="1"/>
  <c r="S28" i="1"/>
  <c r="T28" i="1"/>
  <c r="S26" i="1"/>
  <c r="T26" i="1"/>
  <c r="S16" i="1"/>
  <c r="T16" i="1"/>
  <c r="S36" i="1"/>
  <c r="T36" i="1"/>
  <c r="S42" i="1"/>
  <c r="T42" i="1"/>
  <c r="Q50" i="1"/>
  <c r="S19" i="1"/>
  <c r="T19" i="1"/>
  <c r="S17" i="1"/>
  <c r="T17" i="1"/>
  <c r="S44" i="1"/>
  <c r="T44" i="1"/>
  <c r="S57" i="1"/>
  <c r="T57" i="1"/>
  <c r="S47" i="1"/>
  <c r="T47" i="1"/>
  <c r="S15" i="1"/>
  <c r="T15" i="1"/>
  <c r="S67" i="1"/>
  <c r="T67" i="1"/>
  <c r="S30" i="1"/>
  <c r="T30" i="1"/>
  <c r="S37" i="1"/>
  <c r="T37" i="1"/>
  <c r="S21" i="1"/>
  <c r="T21" i="1"/>
  <c r="S45" i="1"/>
  <c r="T45" i="1"/>
  <c r="Q3" i="1"/>
  <c r="S34" i="1"/>
  <c r="T34" i="1"/>
  <c r="V34" i="1" s="1"/>
  <c r="S25" i="1"/>
  <c r="T25" i="1"/>
  <c r="U50" i="1"/>
  <c r="S53" i="1"/>
  <c r="T53" i="1"/>
  <c r="S31" i="1"/>
  <c r="T31" i="1"/>
  <c r="S38" i="1"/>
  <c r="T38" i="1"/>
  <c r="S58" i="1"/>
  <c r="T58" i="1"/>
  <c r="V65" i="1"/>
  <c r="W65" i="1" s="1"/>
  <c r="X65" i="1" s="1"/>
  <c r="V62" i="1"/>
  <c r="W62" i="1" s="1"/>
  <c r="X62" i="1" s="1"/>
  <c r="Q7" i="1"/>
  <c r="V55" i="1"/>
  <c r="W55" i="1" s="1"/>
  <c r="X55" i="1" s="1"/>
  <c r="Q14" i="1"/>
  <c r="U31" i="1"/>
  <c r="Q42" i="1"/>
  <c r="U9" i="1"/>
  <c r="U11" i="1"/>
  <c r="U5" i="1"/>
  <c r="U37" i="1"/>
  <c r="U4" i="1"/>
  <c r="Q4" i="1"/>
  <c r="Q52" i="1"/>
  <c r="Q23" i="1"/>
  <c r="Q43" i="1"/>
  <c r="U10" i="1"/>
  <c r="U27" i="1"/>
  <c r="Q66" i="1"/>
  <c r="U51" i="1"/>
  <c r="U45" i="1"/>
  <c r="U19" i="1"/>
  <c r="Q15" i="1"/>
  <c r="U14" i="1"/>
  <c r="Q19" i="1"/>
  <c r="Q51" i="1"/>
  <c r="U24" i="1"/>
  <c r="U48" i="1"/>
  <c r="Q45" i="1"/>
  <c r="U38" i="1"/>
  <c r="U18" i="1"/>
  <c r="U43" i="1"/>
  <c r="Q10" i="1"/>
  <c r="Q38" i="1"/>
  <c r="S3" i="1"/>
  <c r="U32" i="1"/>
  <c r="S32" i="1"/>
  <c r="U13" i="1"/>
  <c r="S13" i="1"/>
  <c r="U57" i="1"/>
  <c r="Q39" i="1"/>
  <c r="U8" i="1"/>
  <c r="Q34" i="1"/>
  <c r="Q35" i="1"/>
  <c r="U63" i="1"/>
  <c r="U41" i="1"/>
  <c r="S41" i="1"/>
  <c r="U22" i="1"/>
  <c r="S22" i="1"/>
  <c r="U49" i="1"/>
  <c r="U36" i="1"/>
  <c r="U69" i="1"/>
  <c r="S69" i="1"/>
  <c r="U23" i="1"/>
  <c r="U21" i="1"/>
  <c r="U20" i="1"/>
  <c r="U64" i="1"/>
  <c r="S64" i="1"/>
  <c r="U61" i="1"/>
  <c r="U46" i="1"/>
  <c r="S46" i="1"/>
  <c r="Q25" i="1"/>
  <c r="Q49" i="1"/>
  <c r="Q36" i="1"/>
  <c r="U6" i="1"/>
  <c r="Q26" i="1"/>
  <c r="Q31" i="1"/>
  <c r="U7" i="1"/>
  <c r="U33" i="1"/>
  <c r="S33" i="1"/>
  <c r="Q5" i="1"/>
  <c r="Q37" i="1"/>
  <c r="Q21" i="1"/>
  <c r="Q20" i="1"/>
  <c r="U44" i="1"/>
  <c r="Q57" i="1"/>
  <c r="V68" i="1"/>
  <c r="W68" i="1" s="1"/>
  <c r="X68" i="1" s="1"/>
  <c r="V56" i="1"/>
  <c r="W56" i="1" s="1"/>
  <c r="X56" i="1" s="1"/>
  <c r="T9" i="1"/>
  <c r="Q40" i="1"/>
  <c r="Q9" i="1"/>
  <c r="T8" i="1"/>
  <c r="U66" i="1"/>
  <c r="T5" i="1"/>
  <c r="Q48" i="1"/>
  <c r="Q44" i="1"/>
  <c r="V60" i="1"/>
  <c r="W60" i="1" s="1"/>
  <c r="X60" i="1" s="1"/>
  <c r="T12" i="1"/>
  <c r="Q67" i="1"/>
  <c r="T14" i="1"/>
  <c r="U47" i="1"/>
  <c r="Q32" i="1"/>
  <c r="T11" i="1"/>
  <c r="V30" i="1"/>
  <c r="T4" i="1"/>
  <c r="Q22" i="1"/>
  <c r="Q46" i="1"/>
  <c r="Q28" i="1"/>
  <c r="L70" i="1"/>
  <c r="P70" i="1"/>
  <c r="Q6" i="1"/>
  <c r="Q53" i="1"/>
  <c r="Q47" i="1"/>
  <c r="T7" i="1"/>
  <c r="Q33" i="1"/>
  <c r="Q17" i="1"/>
  <c r="U16" i="1"/>
  <c r="T10" i="1"/>
  <c r="Q13" i="1"/>
  <c r="Q54" i="1"/>
  <c r="Q41" i="1"/>
  <c r="Q58" i="1"/>
  <c r="V59" i="1"/>
  <c r="W59" i="1" s="1"/>
  <c r="X59" i="1" s="1"/>
  <c r="Q63" i="1"/>
  <c r="J71" i="1"/>
  <c r="K71" i="1"/>
  <c r="I71" i="1"/>
  <c r="U28" i="1"/>
  <c r="U12" i="1"/>
  <c r="T6" i="1"/>
  <c r="U53" i="1"/>
  <c r="U26" i="1"/>
  <c r="Q69" i="1"/>
  <c r="Q27" i="1"/>
  <c r="U52" i="1"/>
  <c r="Q11" i="1"/>
  <c r="U67" i="1"/>
  <c r="U17" i="1"/>
  <c r="Q16" i="1"/>
  <c r="Q30" i="1"/>
  <c r="T13" i="1"/>
  <c r="U54" i="1"/>
  <c r="U58" i="1"/>
  <c r="Q64" i="1"/>
  <c r="M75" i="1"/>
  <c r="R76" i="1"/>
  <c r="H72" i="1"/>
  <c r="V57" i="1" l="1"/>
  <c r="V50" i="1"/>
  <c r="W50" i="1" s="1"/>
  <c r="X50" i="1" s="1"/>
  <c r="V15" i="1"/>
  <c r="V42" i="1"/>
  <c r="W42" i="1" s="1"/>
  <c r="X42" i="1" s="1"/>
  <c r="V61" i="1"/>
  <c r="W61" i="1" s="1"/>
  <c r="X61" i="1" s="1"/>
  <c r="V39" i="1"/>
  <c r="W39" i="1" s="1"/>
  <c r="X39" i="1" s="1"/>
  <c r="V35" i="1"/>
  <c r="W35" i="1" s="1"/>
  <c r="X35" i="1" s="1"/>
  <c r="S70" i="1"/>
  <c r="V70" i="1" s="1"/>
  <c r="T70" i="1"/>
  <c r="V6" i="1"/>
  <c r="W6" i="1" s="1"/>
  <c r="X6" i="1" s="1"/>
  <c r="V11" i="1"/>
  <c r="W11" i="1" s="1"/>
  <c r="X11" i="1" s="1"/>
  <c r="V63" i="1"/>
  <c r="W63" i="1" s="1"/>
  <c r="X63" i="1" s="1"/>
  <c r="V31" i="1"/>
  <c r="W31" i="1" s="1"/>
  <c r="X31" i="1" s="1"/>
  <c r="U70" i="1"/>
  <c r="V10" i="1"/>
  <c r="W10" i="1" s="1"/>
  <c r="X10" i="1" s="1"/>
  <c r="V46" i="1"/>
  <c r="W46" i="1" s="1"/>
  <c r="X46" i="1" s="1"/>
  <c r="V45" i="1"/>
  <c r="W45" i="1" s="1"/>
  <c r="X45" i="1" s="1"/>
  <c r="Q70" i="1"/>
  <c r="V24" i="1"/>
  <c r="W24" i="1" s="1"/>
  <c r="X24" i="1" s="1"/>
  <c r="V9" i="1"/>
  <c r="W9" i="1" s="1"/>
  <c r="X9" i="1" s="1"/>
  <c r="W15" i="1"/>
  <c r="X15" i="1" s="1"/>
  <c r="V19" i="1"/>
  <c r="W19" i="1" s="1"/>
  <c r="X19" i="1" s="1"/>
  <c r="V38" i="1"/>
  <c r="W38" i="1" s="1"/>
  <c r="X38" i="1" s="1"/>
  <c r="V3" i="1"/>
  <c r="W3" i="1" s="1"/>
  <c r="V51" i="1"/>
  <c r="W51" i="1" s="1"/>
  <c r="X51" i="1" s="1"/>
  <c r="V43" i="1"/>
  <c r="W43" i="1" s="1"/>
  <c r="X43" i="1" s="1"/>
  <c r="V8" i="1"/>
  <c r="W8" i="1" s="1"/>
  <c r="X8" i="1" s="1"/>
  <c r="V36" i="1"/>
  <c r="W36" i="1" s="1"/>
  <c r="X36" i="1" s="1"/>
  <c r="V37" i="1"/>
  <c r="W37" i="1" s="1"/>
  <c r="X37" i="1" s="1"/>
  <c r="V20" i="1"/>
  <c r="W20" i="1" s="1"/>
  <c r="X20" i="1" s="1"/>
  <c r="V21" i="1"/>
  <c r="W21" i="1" s="1"/>
  <c r="X21" i="1" s="1"/>
  <c r="V41" i="1"/>
  <c r="W41" i="1" s="1"/>
  <c r="X41" i="1" s="1"/>
  <c r="V22" i="1"/>
  <c r="W22" i="1" s="1"/>
  <c r="X22" i="1" s="1"/>
  <c r="V48" i="1"/>
  <c r="W48" i="1" s="1"/>
  <c r="X48" i="1" s="1"/>
  <c r="V27" i="1"/>
  <c r="W27" i="1" s="1"/>
  <c r="X27" i="1" s="1"/>
  <c r="V69" i="1"/>
  <c r="W69" i="1" s="1"/>
  <c r="X69" i="1" s="1"/>
  <c r="V32" i="1"/>
  <c r="W32" i="1" s="1"/>
  <c r="X32" i="1" s="1"/>
  <c r="V49" i="1"/>
  <c r="W49" i="1" s="1"/>
  <c r="X49" i="1" s="1"/>
  <c r="V33" i="1"/>
  <c r="W33" i="1" s="1"/>
  <c r="X33" i="1" s="1"/>
  <c r="V18" i="1"/>
  <c r="W18" i="1" s="1"/>
  <c r="X18" i="1" s="1"/>
  <c r="V44" i="1"/>
  <c r="W44" i="1" s="1"/>
  <c r="X44" i="1" s="1"/>
  <c r="V7" i="1"/>
  <c r="W7" i="1" s="1"/>
  <c r="X7" i="1" s="1"/>
  <c r="V23" i="1"/>
  <c r="W23" i="1" s="1"/>
  <c r="X23" i="1" s="1"/>
  <c r="V64" i="1"/>
  <c r="W64" i="1" s="1"/>
  <c r="X64" i="1" s="1"/>
  <c r="V13" i="1"/>
  <c r="W13" i="1" s="1"/>
  <c r="X13" i="1" s="1"/>
  <c r="V54" i="1"/>
  <c r="W54" i="1" s="1"/>
  <c r="X54" i="1" s="1"/>
  <c r="V28" i="1"/>
  <c r="W28" i="1" s="1"/>
  <c r="X28" i="1" s="1"/>
  <c r="W34" i="1"/>
  <c r="X34" i="1" s="1"/>
  <c r="V14" i="1"/>
  <c r="W14" i="1" s="1"/>
  <c r="X14" i="1" s="1"/>
  <c r="W57" i="1"/>
  <c r="X57" i="1" s="1"/>
  <c r="V12" i="1"/>
  <c r="W12" i="1" s="1"/>
  <c r="X12" i="1" s="1"/>
  <c r="V25" i="1"/>
  <c r="W25" i="1" s="1"/>
  <c r="X25" i="1" s="1"/>
  <c r="V26" i="1"/>
  <c r="W26" i="1" s="1"/>
  <c r="X26" i="1" s="1"/>
  <c r="V40" i="1"/>
  <c r="W40" i="1" s="1"/>
  <c r="X40" i="1" s="1"/>
  <c r="V67" i="1"/>
  <c r="W67" i="1" s="1"/>
  <c r="X67" i="1" s="1"/>
  <c r="V29" i="1"/>
  <c r="W29" i="1" s="1"/>
  <c r="X29" i="1" s="1"/>
  <c r="V47" i="1"/>
  <c r="W47" i="1" s="1"/>
  <c r="X47" i="1" s="1"/>
  <c r="V5" i="1"/>
  <c r="W5" i="1" s="1"/>
  <c r="X5" i="1" s="1"/>
  <c r="V16" i="1"/>
  <c r="W16" i="1" s="1"/>
  <c r="X16" i="1" s="1"/>
  <c r="W30" i="1"/>
  <c r="X30" i="1" s="1"/>
  <c r="I72" i="1"/>
  <c r="J72" i="1"/>
  <c r="K72" i="1"/>
  <c r="V4" i="1"/>
  <c r="W4" i="1" s="1"/>
  <c r="X4" i="1" s="1"/>
  <c r="V52" i="1"/>
  <c r="W52" i="1" s="1"/>
  <c r="X52" i="1" s="1"/>
  <c r="V58" i="1"/>
  <c r="W58" i="1" s="1"/>
  <c r="X58" i="1" s="1"/>
  <c r="V17" i="1"/>
  <c r="W17" i="1" s="1"/>
  <c r="X17" i="1" s="1"/>
  <c r="V53" i="1"/>
  <c r="W53" i="1" s="1"/>
  <c r="X53" i="1" s="1"/>
  <c r="L71" i="1"/>
  <c r="P71" i="1"/>
  <c r="V66" i="1"/>
  <c r="W66" i="1" s="1"/>
  <c r="X66" i="1" s="1"/>
  <c r="R77" i="1"/>
  <c r="M76" i="1"/>
  <c r="H73" i="1"/>
  <c r="Y12" i="1" l="1"/>
  <c r="Y20" i="1"/>
  <c r="Y28" i="1"/>
  <c r="Y36" i="1"/>
  <c r="Y44" i="1"/>
  <c r="Y52" i="1"/>
  <c r="Y60" i="1"/>
  <c r="Y68" i="1"/>
  <c r="Y33" i="1"/>
  <c r="Y34" i="1"/>
  <c r="Y27" i="1"/>
  <c r="Y4" i="1"/>
  <c r="Y5" i="1"/>
  <c r="Y13" i="1"/>
  <c r="Y21" i="1"/>
  <c r="Y29" i="1"/>
  <c r="Y37" i="1"/>
  <c r="Y45" i="1"/>
  <c r="Y53" i="1"/>
  <c r="Y61" i="1"/>
  <c r="Y69" i="1"/>
  <c r="Y17" i="1"/>
  <c r="Y65" i="1"/>
  <c r="Y10" i="1"/>
  <c r="Y50" i="1"/>
  <c r="Y19" i="1"/>
  <c r="Y6" i="1"/>
  <c r="Y14" i="1"/>
  <c r="Y22" i="1"/>
  <c r="Y30" i="1"/>
  <c r="Y38" i="1"/>
  <c r="Y46" i="1"/>
  <c r="Y54" i="1"/>
  <c r="Y62" i="1"/>
  <c r="Y56" i="1"/>
  <c r="Y25" i="1"/>
  <c r="Y57" i="1"/>
  <c r="Y26" i="1"/>
  <c r="Y66" i="1"/>
  <c r="Y43" i="1"/>
  <c r="Y67" i="1"/>
  <c r="Y7" i="1"/>
  <c r="Y15" i="1"/>
  <c r="Y23" i="1"/>
  <c r="Y31" i="1"/>
  <c r="Y39" i="1"/>
  <c r="Y47" i="1"/>
  <c r="Y55" i="1"/>
  <c r="Y63" i="1"/>
  <c r="Y64" i="1"/>
  <c r="Y41" i="1"/>
  <c r="Y42" i="1"/>
  <c r="Y58" i="1"/>
  <c r="Y35" i="1"/>
  <c r="Y59" i="1"/>
  <c r="Y8" i="1"/>
  <c r="Y16" i="1"/>
  <c r="Y24" i="1"/>
  <c r="Y32" i="1"/>
  <c r="Y40" i="1"/>
  <c r="Y48" i="1"/>
  <c r="Y9" i="1"/>
  <c r="Y49" i="1"/>
  <c r="Y18" i="1"/>
  <c r="Y11" i="1"/>
  <c r="Y51" i="1"/>
  <c r="S71" i="1"/>
  <c r="T71" i="1"/>
  <c r="X3" i="1"/>
  <c r="Y3" i="1" s="1"/>
  <c r="W70" i="1"/>
  <c r="X70" i="1" s="1"/>
  <c r="Q71" i="1"/>
  <c r="L72" i="1"/>
  <c r="P72" i="1"/>
  <c r="I73" i="1"/>
  <c r="J73" i="1"/>
  <c r="K73" i="1"/>
  <c r="U71" i="1"/>
  <c r="R78" i="1"/>
  <c r="M77" i="1"/>
  <c r="H74" i="1"/>
  <c r="Y70" i="1" l="1"/>
  <c r="S72" i="1"/>
  <c r="T72" i="1"/>
  <c r="U72" i="1"/>
  <c r="Q72" i="1"/>
  <c r="P73" i="1"/>
  <c r="J74" i="1"/>
  <c r="I74" i="1"/>
  <c r="K74" i="1"/>
  <c r="L73" i="1"/>
  <c r="V71" i="1"/>
  <c r="W71" i="1" s="1"/>
  <c r="X71" i="1" s="1"/>
  <c r="R79" i="1"/>
  <c r="M78" i="1"/>
  <c r="H75" i="1"/>
  <c r="Y71" i="1" l="1"/>
  <c r="S73" i="1"/>
  <c r="T73" i="1"/>
  <c r="V72" i="1"/>
  <c r="W72" i="1" s="1"/>
  <c r="X72" i="1" s="1"/>
  <c r="Y72" i="1" s="1"/>
  <c r="L74" i="1"/>
  <c r="P74" i="1"/>
  <c r="U74" i="1"/>
  <c r="I75" i="1"/>
  <c r="K75" i="1"/>
  <c r="J75" i="1"/>
  <c r="U73" i="1"/>
  <c r="Q73" i="1"/>
  <c r="M79" i="1"/>
  <c r="R80" i="1"/>
  <c r="H76" i="1"/>
  <c r="S74" i="1" l="1"/>
  <c r="T74" i="1"/>
  <c r="Q74" i="1"/>
  <c r="L75" i="1"/>
  <c r="T75" i="1" s="1"/>
  <c r="P75" i="1"/>
  <c r="V73" i="1"/>
  <c r="W73" i="1" s="1"/>
  <c r="X73" i="1" s="1"/>
  <c r="K76" i="1"/>
  <c r="J76" i="1"/>
  <c r="I76" i="1"/>
  <c r="R81" i="1"/>
  <c r="M80" i="1"/>
  <c r="H77" i="1"/>
  <c r="Y73" i="1" l="1"/>
  <c r="V74" i="1"/>
  <c r="W74" i="1" s="1"/>
  <c r="X74" i="1" s="1"/>
  <c r="Y74" i="1" s="1"/>
  <c r="U75" i="1"/>
  <c r="S75" i="1"/>
  <c r="K77" i="1"/>
  <c r="I77" i="1"/>
  <c r="J77" i="1"/>
  <c r="Q75" i="1"/>
  <c r="L76" i="1"/>
  <c r="P76" i="1"/>
  <c r="R82" i="1"/>
  <c r="M81" i="1"/>
  <c r="H78" i="1"/>
  <c r="S76" i="1" l="1"/>
  <c r="T76" i="1"/>
  <c r="V75" i="1"/>
  <c r="W75" i="1" s="1"/>
  <c r="X75" i="1" s="1"/>
  <c r="L77" i="1"/>
  <c r="P77" i="1"/>
  <c r="J78" i="1"/>
  <c r="K78" i="1"/>
  <c r="I78" i="1"/>
  <c r="Q76" i="1"/>
  <c r="U76" i="1"/>
  <c r="R83" i="1"/>
  <c r="M82" i="1"/>
  <c r="H79" i="1"/>
  <c r="Y75" i="1" l="1"/>
  <c r="S77" i="1"/>
  <c r="T77" i="1"/>
  <c r="U77" i="1"/>
  <c r="Q77" i="1"/>
  <c r="V76" i="1"/>
  <c r="W76" i="1" s="1"/>
  <c r="X76" i="1" s="1"/>
  <c r="J79" i="1"/>
  <c r="K79" i="1"/>
  <c r="I79" i="1"/>
  <c r="L78" i="1"/>
  <c r="P78" i="1"/>
  <c r="M83" i="1"/>
  <c r="R84" i="1"/>
  <c r="H80" i="1"/>
  <c r="Y76" i="1" l="1"/>
  <c r="S78" i="1"/>
  <c r="T78" i="1"/>
  <c r="V77" i="1"/>
  <c r="W77" i="1" s="1"/>
  <c r="X77" i="1" s="1"/>
  <c r="Y77" i="1" s="1"/>
  <c r="U78" i="1"/>
  <c r="Q78" i="1"/>
  <c r="L79" i="1"/>
  <c r="T79" i="1" s="1"/>
  <c r="P79" i="1"/>
  <c r="I80" i="1"/>
  <c r="K80" i="1"/>
  <c r="J80" i="1"/>
  <c r="R85" i="1"/>
  <c r="M84" i="1"/>
  <c r="H81" i="1"/>
  <c r="V78" i="1" l="1"/>
  <c r="W78" i="1" s="1"/>
  <c r="X78" i="1" s="1"/>
  <c r="Y78" i="1" s="1"/>
  <c r="U79" i="1"/>
  <c r="S79" i="1"/>
  <c r="L80" i="1"/>
  <c r="P80" i="1"/>
  <c r="I81" i="1"/>
  <c r="J81" i="1"/>
  <c r="K81" i="1"/>
  <c r="Q79" i="1"/>
  <c r="R86" i="1"/>
  <c r="M85" i="1"/>
  <c r="H82" i="1"/>
  <c r="S80" i="1" l="1"/>
  <c r="T80" i="1"/>
  <c r="U80" i="1"/>
  <c r="Q80" i="1"/>
  <c r="V79" i="1"/>
  <c r="W79" i="1" s="1"/>
  <c r="X79" i="1" s="1"/>
  <c r="Y79" i="1" s="1"/>
  <c r="L81" i="1"/>
  <c r="P81" i="1"/>
  <c r="J82" i="1"/>
  <c r="I82" i="1"/>
  <c r="K82" i="1"/>
  <c r="R87" i="1"/>
  <c r="M86" i="1"/>
  <c r="H83" i="1"/>
  <c r="S81" i="1" l="1"/>
  <c r="T81" i="1"/>
  <c r="V80" i="1"/>
  <c r="W80" i="1" s="1"/>
  <c r="X80" i="1" s="1"/>
  <c r="Y80" i="1" s="1"/>
  <c r="U81" i="1"/>
  <c r="Q81" i="1"/>
  <c r="L82" i="1"/>
  <c r="T82" i="1" s="1"/>
  <c r="P82" i="1"/>
  <c r="I83" i="1"/>
  <c r="J83" i="1"/>
  <c r="K83" i="1"/>
  <c r="M87" i="1"/>
  <c r="R88" i="1"/>
  <c r="H84" i="1"/>
  <c r="U82" i="1" l="1"/>
  <c r="S82" i="1"/>
  <c r="V81" i="1"/>
  <c r="W81" i="1" s="1"/>
  <c r="X81" i="1" s="1"/>
  <c r="Y81" i="1" s="1"/>
  <c r="L83" i="1"/>
  <c r="U83" i="1"/>
  <c r="P83" i="1"/>
  <c r="Q83" i="1" s="1"/>
  <c r="K84" i="1"/>
  <c r="I84" i="1"/>
  <c r="J84" i="1"/>
  <c r="Q82" i="1"/>
  <c r="R89" i="1"/>
  <c r="M88" i="1"/>
  <c r="H85" i="1"/>
  <c r="S83" i="1" l="1"/>
  <c r="T83" i="1"/>
  <c r="V82" i="1"/>
  <c r="W82" i="1" s="1"/>
  <c r="X82" i="1" s="1"/>
  <c r="Y82" i="1" s="1"/>
  <c r="L84" i="1"/>
  <c r="P84" i="1"/>
  <c r="K85" i="1"/>
  <c r="I85" i="1"/>
  <c r="J85" i="1"/>
  <c r="M89" i="1"/>
  <c r="R90" i="1"/>
  <c r="H86" i="1"/>
  <c r="V83" i="1" l="1"/>
  <c r="W83" i="1" s="1"/>
  <c r="X83" i="1" s="1"/>
  <c r="Y83" i="1" s="1"/>
  <c r="S84" i="1"/>
  <c r="T84" i="1"/>
  <c r="Q84" i="1"/>
  <c r="U84" i="1"/>
  <c r="J86" i="1"/>
  <c r="K86" i="1"/>
  <c r="I86" i="1"/>
  <c r="L85" i="1"/>
  <c r="P85" i="1"/>
  <c r="R91" i="1"/>
  <c r="M90" i="1"/>
  <c r="H87" i="1"/>
  <c r="V84" i="1" l="1"/>
  <c r="W84" i="1" s="1"/>
  <c r="X84" i="1" s="1"/>
  <c r="Y84" i="1" s="1"/>
  <c r="S85" i="1"/>
  <c r="T85" i="1"/>
  <c r="L86" i="1"/>
  <c r="P86" i="1"/>
  <c r="J87" i="1"/>
  <c r="K87" i="1"/>
  <c r="I87" i="1"/>
  <c r="Q85" i="1"/>
  <c r="U85" i="1"/>
  <c r="M91" i="1"/>
  <c r="R92" i="1"/>
  <c r="H88" i="1"/>
  <c r="S86" i="1" l="1"/>
  <c r="T86" i="1"/>
  <c r="U86" i="1"/>
  <c r="Q86" i="1"/>
  <c r="V85" i="1"/>
  <c r="W85" i="1" s="1"/>
  <c r="X85" i="1" s="1"/>
  <c r="Y85" i="1" s="1"/>
  <c r="L87" i="1"/>
  <c r="P87" i="1"/>
  <c r="I88" i="1"/>
  <c r="K88" i="1"/>
  <c r="J88" i="1"/>
  <c r="R93" i="1"/>
  <c r="M92" i="1"/>
  <c r="H89" i="1"/>
  <c r="S87" i="1" l="1"/>
  <c r="T87" i="1"/>
  <c r="V86" i="1"/>
  <c r="W86" i="1" s="1"/>
  <c r="X86" i="1" s="1"/>
  <c r="Y86" i="1" s="1"/>
  <c r="U87" i="1"/>
  <c r="I89" i="1"/>
  <c r="J89" i="1"/>
  <c r="K89" i="1"/>
  <c r="L88" i="1"/>
  <c r="T88" i="1" s="1"/>
  <c r="P88" i="1"/>
  <c r="Q87" i="1"/>
  <c r="M93" i="1"/>
  <c r="R94" i="1"/>
  <c r="H90" i="1"/>
  <c r="V87" i="1" l="1"/>
  <c r="W87" i="1" s="1"/>
  <c r="X87" i="1" s="1"/>
  <c r="Y87" i="1" s="1"/>
  <c r="U88" i="1"/>
  <c r="S88" i="1"/>
  <c r="L89" i="1"/>
  <c r="T89" i="1" s="1"/>
  <c r="P89" i="1"/>
  <c r="Q88" i="1"/>
  <c r="J90" i="1"/>
  <c r="I90" i="1"/>
  <c r="K90" i="1"/>
  <c r="R95" i="1"/>
  <c r="M94" i="1"/>
  <c r="H91" i="1"/>
  <c r="V88" i="1" l="1"/>
  <c r="W88" i="1" s="1"/>
  <c r="Q89" i="1"/>
  <c r="U89" i="1"/>
  <c r="S89" i="1"/>
  <c r="L90" i="1"/>
  <c r="P90" i="1"/>
  <c r="Q90" i="1" s="1"/>
  <c r="I91" i="1"/>
  <c r="K91" i="1"/>
  <c r="J91" i="1"/>
  <c r="M95" i="1"/>
  <c r="R96" i="1"/>
  <c r="H92" i="1"/>
  <c r="S90" i="1" l="1"/>
  <c r="T90" i="1"/>
  <c r="U90" i="1"/>
  <c r="V89" i="1"/>
  <c r="W89" i="1" s="1"/>
  <c r="X89" i="1" s="1"/>
  <c r="X88" i="1"/>
  <c r="Y88" i="1" s="1"/>
  <c r="L91" i="1"/>
  <c r="P91" i="1"/>
  <c r="Q91" i="1" s="1"/>
  <c r="K92" i="1"/>
  <c r="J92" i="1"/>
  <c r="I92" i="1"/>
  <c r="R97" i="1"/>
  <c r="M96" i="1"/>
  <c r="H93" i="1"/>
  <c r="Y89" i="1" l="1"/>
  <c r="S91" i="1"/>
  <c r="T91" i="1"/>
  <c r="V90" i="1"/>
  <c r="W90" i="1" s="1"/>
  <c r="X90" i="1" s="1"/>
  <c r="Y90" i="1" s="1"/>
  <c r="U91" i="1"/>
  <c r="K93" i="1"/>
  <c r="I93" i="1"/>
  <c r="J93" i="1"/>
  <c r="L92" i="1"/>
  <c r="P92" i="1"/>
  <c r="M97" i="1"/>
  <c r="R98" i="1"/>
  <c r="H94" i="1"/>
  <c r="S92" i="1" l="1"/>
  <c r="T92" i="1"/>
  <c r="V91" i="1"/>
  <c r="W91" i="1" s="1"/>
  <c r="X91" i="1" s="1"/>
  <c r="Y91" i="1" s="1"/>
  <c r="U92" i="1"/>
  <c r="Q92" i="1"/>
  <c r="L93" i="1"/>
  <c r="T93" i="1" s="1"/>
  <c r="P93" i="1"/>
  <c r="J94" i="1"/>
  <c r="K94" i="1"/>
  <c r="I94" i="1"/>
  <c r="R99" i="1"/>
  <c r="M98" i="1"/>
  <c r="H95" i="1"/>
  <c r="V92" i="1" l="1"/>
  <c r="W92" i="1" s="1"/>
  <c r="X92" i="1" s="1"/>
  <c r="Y92" i="1" s="1"/>
  <c r="U93" i="1"/>
  <c r="S93" i="1"/>
  <c r="L94" i="1"/>
  <c r="T94" i="1" s="1"/>
  <c r="P94" i="1"/>
  <c r="J95" i="1"/>
  <c r="K95" i="1"/>
  <c r="I95" i="1"/>
  <c r="Q93" i="1"/>
  <c r="M99" i="1"/>
  <c r="R100" i="1"/>
  <c r="H96" i="1"/>
  <c r="V93" i="1" l="1"/>
  <c r="W93" i="1" s="1"/>
  <c r="X93" i="1" s="1"/>
  <c r="Y93" i="1" s="1"/>
  <c r="Q94" i="1"/>
  <c r="U94" i="1"/>
  <c r="S94" i="1"/>
  <c r="L95" i="1"/>
  <c r="P95" i="1"/>
  <c r="I96" i="1"/>
  <c r="J96" i="1"/>
  <c r="K96" i="1"/>
  <c r="R101" i="1"/>
  <c r="M100" i="1"/>
  <c r="H97" i="1"/>
  <c r="S95" i="1" l="1"/>
  <c r="T95" i="1"/>
  <c r="U95" i="1"/>
  <c r="Q95" i="1"/>
  <c r="V94" i="1"/>
  <c r="W94" i="1" s="1"/>
  <c r="X94" i="1" s="1"/>
  <c r="Y94" i="1" s="1"/>
  <c r="L96" i="1"/>
  <c r="P96" i="1"/>
  <c r="I97" i="1"/>
  <c r="J97" i="1"/>
  <c r="K97" i="1"/>
  <c r="R102" i="1"/>
  <c r="M101" i="1"/>
  <c r="H98" i="1"/>
  <c r="V95" i="1" l="1"/>
  <c r="W95" i="1" s="1"/>
  <c r="X95" i="1" s="1"/>
  <c r="Y95" i="1" s="1"/>
  <c r="S96" i="1"/>
  <c r="T96" i="1"/>
  <c r="U96" i="1"/>
  <c r="Q96" i="1"/>
  <c r="L97" i="1"/>
  <c r="P97" i="1"/>
  <c r="Q97" i="1" s="1"/>
  <c r="J98" i="1"/>
  <c r="I98" i="1"/>
  <c r="K98" i="1"/>
  <c r="M102" i="1"/>
  <c r="R103" i="1"/>
  <c r="H99" i="1"/>
  <c r="V96" i="1" l="1"/>
  <c r="W96" i="1" s="1"/>
  <c r="X96" i="1" s="1"/>
  <c r="Y96" i="1" s="1"/>
  <c r="S97" i="1"/>
  <c r="T97" i="1"/>
  <c r="U97" i="1"/>
  <c r="L98" i="1"/>
  <c r="T98" i="1" s="1"/>
  <c r="P98" i="1"/>
  <c r="I99" i="1"/>
  <c r="J99" i="1"/>
  <c r="K99" i="1"/>
  <c r="R104" i="1"/>
  <c r="M103" i="1"/>
  <c r="H100" i="1"/>
  <c r="V97" i="1" l="1"/>
  <c r="W97" i="1" s="1"/>
  <c r="X97" i="1" s="1"/>
  <c r="Y97" i="1" s="1"/>
  <c r="U98" i="1"/>
  <c r="S98" i="1"/>
  <c r="Q98" i="1"/>
  <c r="L99" i="1"/>
  <c r="U99" i="1"/>
  <c r="P99" i="1"/>
  <c r="Q99" i="1" s="1"/>
  <c r="K100" i="1"/>
  <c r="I100" i="1"/>
  <c r="J100" i="1"/>
  <c r="M104" i="1"/>
  <c r="R105" i="1"/>
  <c r="H101" i="1"/>
  <c r="S99" i="1" l="1"/>
  <c r="T99" i="1"/>
  <c r="V98" i="1"/>
  <c r="W98" i="1" s="1"/>
  <c r="X98" i="1" s="1"/>
  <c r="Y98" i="1" s="1"/>
  <c r="L100" i="1"/>
  <c r="P100" i="1"/>
  <c r="K101" i="1"/>
  <c r="I101" i="1"/>
  <c r="J101" i="1"/>
  <c r="R106" i="1"/>
  <c r="M105" i="1"/>
  <c r="H102" i="1"/>
  <c r="V99" i="1" l="1"/>
  <c r="W99" i="1" s="1"/>
  <c r="X99" i="1" s="1"/>
  <c r="Y99" i="1" s="1"/>
  <c r="S100" i="1"/>
  <c r="T100" i="1"/>
  <c r="Q100" i="1"/>
  <c r="U100" i="1"/>
  <c r="L101" i="1"/>
  <c r="P101" i="1"/>
  <c r="J102" i="1"/>
  <c r="K102" i="1"/>
  <c r="I102" i="1"/>
  <c r="H103" i="1"/>
  <c r="R107" i="1"/>
  <c r="M106" i="1"/>
  <c r="S101" i="1" l="1"/>
  <c r="T101" i="1"/>
  <c r="V100" i="1"/>
  <c r="W100" i="1" s="1"/>
  <c r="X100" i="1" s="1"/>
  <c r="Y100" i="1" s="1"/>
  <c r="U101" i="1"/>
  <c r="Q101" i="1"/>
  <c r="H104" i="1"/>
  <c r="J103" i="1"/>
  <c r="K103" i="1"/>
  <c r="I103" i="1"/>
  <c r="L102" i="1"/>
  <c r="P102" i="1"/>
  <c r="M107" i="1"/>
  <c r="R108" i="1"/>
  <c r="S102" i="1" l="1"/>
  <c r="T102" i="1"/>
  <c r="U102" i="1"/>
  <c r="V101" i="1"/>
  <c r="W101" i="1" s="1"/>
  <c r="X101" i="1" s="1"/>
  <c r="Y101" i="1" s="1"/>
  <c r="Q102" i="1"/>
  <c r="H105" i="1"/>
  <c r="I104" i="1"/>
  <c r="K104" i="1"/>
  <c r="J104" i="1"/>
  <c r="L103" i="1"/>
  <c r="P103" i="1"/>
  <c r="R109" i="1"/>
  <c r="M108" i="1"/>
  <c r="S103" i="1" l="1"/>
  <c r="T103" i="1"/>
  <c r="V102" i="1"/>
  <c r="W102" i="1" s="1"/>
  <c r="X102" i="1" s="1"/>
  <c r="Y102" i="1" s="1"/>
  <c r="Q103" i="1"/>
  <c r="U103" i="1"/>
  <c r="L104" i="1"/>
  <c r="T104" i="1" s="1"/>
  <c r="P104" i="1"/>
  <c r="H106" i="1"/>
  <c r="I105" i="1"/>
  <c r="J105" i="1"/>
  <c r="K105" i="1"/>
  <c r="M109" i="1"/>
  <c r="R110" i="1"/>
  <c r="V103" i="1" l="1"/>
  <c r="W103" i="1" s="1"/>
  <c r="X103" i="1" s="1"/>
  <c r="Y103" i="1" s="1"/>
  <c r="U104" i="1"/>
  <c r="S104" i="1"/>
  <c r="L105" i="1"/>
  <c r="T105" i="1" s="1"/>
  <c r="P105" i="1"/>
  <c r="Q105" i="1" s="1"/>
  <c r="H107" i="1"/>
  <c r="J106" i="1"/>
  <c r="I106" i="1"/>
  <c r="K106" i="1"/>
  <c r="Q104" i="1"/>
  <c r="R111" i="1"/>
  <c r="M110" i="1"/>
  <c r="V104" i="1" l="1"/>
  <c r="W104" i="1" s="1"/>
  <c r="X104" i="1" s="1"/>
  <c r="Y104" i="1" s="1"/>
  <c r="U105" i="1"/>
  <c r="S105" i="1"/>
  <c r="H108" i="1"/>
  <c r="I107" i="1"/>
  <c r="K107" i="1"/>
  <c r="J107" i="1"/>
  <c r="L106" i="1"/>
  <c r="P106" i="1"/>
  <c r="M111" i="1"/>
  <c r="R112" i="1"/>
  <c r="S106" i="1" l="1"/>
  <c r="T106" i="1"/>
  <c r="V105" i="1"/>
  <c r="W105" i="1" s="1"/>
  <c r="X105" i="1" s="1"/>
  <c r="Y105" i="1" s="1"/>
  <c r="U106" i="1"/>
  <c r="Q106" i="1"/>
  <c r="L107" i="1"/>
  <c r="P107" i="1"/>
  <c r="H109" i="1"/>
  <c r="K108" i="1"/>
  <c r="J108" i="1"/>
  <c r="I108" i="1"/>
  <c r="R113" i="1"/>
  <c r="R114" i="1" s="1"/>
  <c r="M112" i="1"/>
  <c r="V106" i="1" l="1"/>
  <c r="W106" i="1" s="1"/>
  <c r="X106" i="1" s="1"/>
  <c r="Y106" i="1" s="1"/>
  <c r="S107" i="1"/>
  <c r="T107" i="1"/>
  <c r="Q107" i="1"/>
  <c r="U107" i="1"/>
  <c r="K109" i="1"/>
  <c r="J109" i="1"/>
  <c r="I109" i="1"/>
  <c r="H110" i="1"/>
  <c r="L108" i="1"/>
  <c r="P108" i="1"/>
  <c r="M113" i="1"/>
  <c r="M114" i="1" s="1"/>
  <c r="S108" i="1" l="1"/>
  <c r="T108" i="1"/>
  <c r="V107" i="1"/>
  <c r="W107" i="1" s="1"/>
  <c r="X107" i="1" s="1"/>
  <c r="Y107" i="1" s="1"/>
  <c r="H111" i="1"/>
  <c r="J110" i="1"/>
  <c r="K110" i="1"/>
  <c r="I110" i="1"/>
  <c r="L109" i="1"/>
  <c r="U109" i="1" s="1"/>
  <c r="P109" i="1"/>
  <c r="Q108" i="1"/>
  <c r="U108" i="1"/>
  <c r="S109" i="1" l="1"/>
  <c r="T109" i="1"/>
  <c r="Q109" i="1"/>
  <c r="L110" i="1"/>
  <c r="P110" i="1"/>
  <c r="V108" i="1"/>
  <c r="W108" i="1" s="1"/>
  <c r="X108" i="1" s="1"/>
  <c r="Y108" i="1" s="1"/>
  <c r="H112" i="1"/>
  <c r="J111" i="1"/>
  <c r="K111" i="1"/>
  <c r="I111" i="1"/>
  <c r="S110" i="1" l="1"/>
  <c r="T110" i="1"/>
  <c r="Q110" i="1"/>
  <c r="U110" i="1"/>
  <c r="V109" i="1"/>
  <c r="W109" i="1" s="1"/>
  <c r="X109" i="1" s="1"/>
  <c r="Y109" i="1" s="1"/>
  <c r="H113" i="1"/>
  <c r="I112" i="1"/>
  <c r="K112" i="1"/>
  <c r="J112" i="1"/>
  <c r="L111" i="1"/>
  <c r="P111" i="1"/>
  <c r="S111" i="1" l="1"/>
  <c r="T111" i="1"/>
  <c r="H114" i="1"/>
  <c r="V110" i="1"/>
  <c r="W110" i="1" s="1"/>
  <c r="X110" i="1" s="1"/>
  <c r="Y110" i="1" s="1"/>
  <c r="Q111" i="1"/>
  <c r="U111" i="1"/>
  <c r="L112" i="1"/>
  <c r="U112" i="1" s="1"/>
  <c r="P112" i="1"/>
  <c r="I113" i="1"/>
  <c r="J113" i="1"/>
  <c r="K113" i="1"/>
  <c r="Q112" i="1" l="1"/>
  <c r="I114" i="1"/>
  <c r="J114" i="1"/>
  <c r="K114" i="1"/>
  <c r="S112" i="1"/>
  <c r="T112" i="1"/>
  <c r="V111" i="1"/>
  <c r="W111" i="1" s="1"/>
  <c r="X111" i="1" s="1"/>
  <c r="Y111" i="1" s="1"/>
  <c r="L113" i="1"/>
  <c r="U113" i="1" s="1"/>
  <c r="P113" i="1"/>
  <c r="Q113" i="1" l="1"/>
  <c r="V112" i="1"/>
  <c r="W112" i="1" s="1"/>
  <c r="X112" i="1" s="1"/>
  <c r="Y112" i="1" s="1"/>
  <c r="L114" i="1"/>
  <c r="U114" i="1" s="1"/>
  <c r="P114" i="1"/>
  <c r="T113" i="1"/>
  <c r="S113" i="1"/>
  <c r="Q114" i="1" l="1"/>
  <c r="V113" i="1"/>
  <c r="W113" i="1" s="1"/>
  <c r="X113" i="1" s="1"/>
  <c r="S114" i="1"/>
  <c r="T114" i="1"/>
  <c r="Z4" i="1" l="1"/>
  <c r="Y113" i="1"/>
  <c r="V114" i="1"/>
  <c r="W114" i="1" s="1"/>
  <c r="X114" i="1" s="1"/>
  <c r="Y114" i="1" s="1"/>
</calcChain>
</file>

<file path=xl/sharedStrings.xml><?xml version="1.0" encoding="utf-8"?>
<sst xmlns="http://schemas.openxmlformats.org/spreadsheetml/2006/main" count="193" uniqueCount="100">
  <si>
    <t>Discount Rate</t>
  </si>
  <si>
    <t>Real Price Appreciation</t>
  </si>
  <si>
    <t>Yield Tax</t>
  </si>
  <si>
    <t xml:space="preserve"> </t>
  </si>
  <si>
    <t>Item</t>
  </si>
  <si>
    <t>Total Cost</t>
  </si>
  <si>
    <t>Herbicide Treatment</t>
  </si>
  <si>
    <t>Tree Planting</t>
  </si>
  <si>
    <t>Logging System</t>
  </si>
  <si>
    <t>Cable</t>
  </si>
  <si>
    <t>Tractor</t>
  </si>
  <si>
    <t>Initial Assumptions</t>
  </si>
  <si>
    <t>Production Cost Assumptions</t>
  </si>
  <si>
    <t>RW</t>
  </si>
  <si>
    <t>DF</t>
  </si>
  <si>
    <t>OC</t>
  </si>
  <si>
    <t>Delivered Log Values/MBF</t>
  </si>
  <si>
    <r>
      <t xml:space="preserve"> </t>
    </r>
    <r>
      <rPr>
        <b/>
        <sz val="11"/>
        <color indexed="8"/>
        <rFont val="Calibri"/>
        <family val="2"/>
        <scheme val="minor"/>
      </rPr>
      <t xml:space="preserve">THP Preparation </t>
    </r>
    <r>
      <rPr>
        <b/>
        <sz val="11"/>
        <rFont val="Calibri"/>
        <family val="2"/>
        <scheme val="minor"/>
      </rPr>
      <t xml:space="preserve"> </t>
    </r>
  </si>
  <si>
    <r>
      <t xml:space="preserve"> </t>
    </r>
    <r>
      <rPr>
        <b/>
        <sz val="11"/>
        <color indexed="8"/>
        <rFont val="Calibri"/>
        <family val="2"/>
        <scheme val="minor"/>
      </rPr>
      <t xml:space="preserve">Logging Supervision </t>
    </r>
    <r>
      <rPr>
        <b/>
        <sz val="11"/>
        <rFont val="Calibri"/>
        <family val="2"/>
        <scheme val="minor"/>
      </rPr>
      <t xml:space="preserve"> </t>
    </r>
  </si>
  <si>
    <r>
      <t xml:space="preserve"> </t>
    </r>
    <r>
      <rPr>
        <b/>
        <sz val="11"/>
        <color indexed="8"/>
        <rFont val="Calibri"/>
        <family val="2"/>
        <scheme val="minor"/>
      </rPr>
      <t xml:space="preserve">Property Management </t>
    </r>
    <r>
      <rPr>
        <b/>
        <sz val="11"/>
        <rFont val="Calibri"/>
        <family val="2"/>
        <scheme val="minor"/>
      </rPr>
      <t xml:space="preserve"> </t>
    </r>
  </si>
  <si>
    <r>
      <t xml:space="preserve"> </t>
    </r>
    <r>
      <rPr>
        <b/>
        <sz val="11"/>
        <color indexed="8"/>
        <rFont val="Calibri"/>
        <family val="2"/>
        <scheme val="minor"/>
      </rPr>
      <t xml:space="preserve">Logging and Hauling </t>
    </r>
    <r>
      <rPr>
        <b/>
        <sz val="11"/>
        <rFont val="Calibri"/>
        <family val="2"/>
        <scheme val="minor"/>
      </rPr>
      <t xml:space="preserve"> </t>
    </r>
  </si>
  <si>
    <r>
      <t xml:space="preserve"> </t>
    </r>
    <r>
      <rPr>
        <b/>
        <sz val="11"/>
        <color indexed="8"/>
        <rFont val="Calibri"/>
        <family val="2"/>
        <scheme val="minor"/>
      </rPr>
      <t xml:space="preserve">Total </t>
    </r>
    <r>
      <rPr>
        <b/>
        <sz val="11"/>
        <rFont val="Calibri"/>
        <family val="2"/>
        <scheme val="minor"/>
      </rPr>
      <t xml:space="preserve"> </t>
    </r>
  </si>
  <si>
    <t>Year</t>
  </si>
  <si>
    <t>Delivered Log Values ($/MBF)</t>
  </si>
  <si>
    <t>Start</t>
  </si>
  <si>
    <t>End</t>
  </si>
  <si>
    <t>Herbicide</t>
  </si>
  <si>
    <r>
      <t xml:space="preserve"> </t>
    </r>
    <r>
      <rPr>
        <b/>
        <sz val="11"/>
        <color indexed="8"/>
        <rFont val="Calibri"/>
        <family val="2"/>
        <scheme val="minor"/>
      </rPr>
      <t xml:space="preserve">Annual Harvest Volume </t>
    </r>
    <r>
      <rPr>
        <b/>
        <sz val="11"/>
        <rFont val="Calibri"/>
        <family val="2"/>
        <scheme val="minor"/>
      </rPr>
      <t xml:space="preserve"> (MBF)</t>
    </r>
  </si>
  <si>
    <r>
      <t xml:space="preserve"> </t>
    </r>
    <r>
      <rPr>
        <b/>
        <sz val="11"/>
        <color indexed="8"/>
        <rFont val="Calibri"/>
        <family val="2"/>
        <scheme val="minor"/>
      </rPr>
      <t xml:space="preserve">Production </t>
    </r>
    <r>
      <rPr>
        <b/>
        <sz val="11"/>
        <rFont val="Calibri"/>
        <family val="2"/>
        <scheme val="minor"/>
      </rPr>
      <t xml:space="preserve"> </t>
    </r>
  </si>
  <si>
    <r>
      <t xml:space="preserve"> </t>
    </r>
    <r>
      <rPr>
        <b/>
        <sz val="11"/>
        <color indexed="8"/>
        <rFont val="Calibri"/>
        <family val="2"/>
        <scheme val="minor"/>
      </rPr>
      <t xml:space="preserve">Tree </t>
    </r>
    <r>
      <rPr>
        <b/>
        <sz val="11"/>
        <rFont val="Calibri"/>
        <family val="2"/>
        <scheme val="minor"/>
      </rPr>
      <t xml:space="preserve"> </t>
    </r>
  </si>
  <si>
    <r>
      <t xml:space="preserve"> </t>
    </r>
    <r>
      <rPr>
        <b/>
        <sz val="11"/>
        <color indexed="8"/>
        <rFont val="Calibri"/>
        <family val="2"/>
        <scheme val="minor"/>
      </rPr>
      <t xml:space="preserve">Yield </t>
    </r>
    <r>
      <rPr>
        <b/>
        <sz val="11"/>
        <rFont val="Calibri"/>
        <family val="2"/>
        <scheme val="minor"/>
      </rPr>
      <t xml:space="preserve"> </t>
    </r>
  </si>
  <si>
    <r>
      <t xml:space="preserve"> </t>
    </r>
    <r>
      <rPr>
        <b/>
        <sz val="11"/>
        <color indexed="8"/>
        <rFont val="Calibri"/>
        <family val="2"/>
        <scheme val="minor"/>
      </rPr>
      <t xml:space="preserve">Net </t>
    </r>
    <r>
      <rPr>
        <b/>
        <sz val="11"/>
        <rFont val="Calibri"/>
        <family val="2"/>
        <scheme val="minor"/>
      </rPr>
      <t xml:space="preserve"> </t>
    </r>
  </si>
  <si>
    <r>
      <t xml:space="preserve"> </t>
    </r>
    <r>
      <rPr>
        <b/>
        <sz val="11"/>
        <color indexed="8"/>
        <rFont val="Calibri"/>
        <family val="2"/>
        <scheme val="minor"/>
      </rPr>
      <t xml:space="preserve">Year </t>
    </r>
    <r>
      <rPr>
        <b/>
        <sz val="11"/>
        <rFont val="Calibri"/>
        <family val="2"/>
        <scheme val="minor"/>
      </rPr>
      <t xml:space="preserve"> </t>
    </r>
  </si>
  <si>
    <r>
      <t xml:space="preserve"> </t>
    </r>
    <r>
      <rPr>
        <b/>
        <sz val="11"/>
        <color indexed="8"/>
        <rFont val="Calibri"/>
        <family val="2"/>
        <scheme val="minor"/>
      </rPr>
      <t xml:space="preserve">Totals </t>
    </r>
    <r>
      <rPr>
        <b/>
        <sz val="11"/>
        <rFont val="Calibri"/>
        <family val="2"/>
        <scheme val="minor"/>
      </rPr>
      <t xml:space="preserve"> </t>
    </r>
  </si>
  <si>
    <r>
      <t xml:space="preserve"> </t>
    </r>
    <r>
      <rPr>
        <b/>
        <sz val="11"/>
        <color indexed="8"/>
        <rFont val="Calibri"/>
        <family val="2"/>
        <scheme val="minor"/>
      </rPr>
      <t xml:space="preserve">RW </t>
    </r>
    <r>
      <rPr>
        <b/>
        <sz val="11"/>
        <rFont val="Calibri"/>
        <family val="2"/>
        <scheme val="minor"/>
      </rPr>
      <t xml:space="preserve"> </t>
    </r>
  </si>
  <si>
    <r>
      <t xml:space="preserve"> </t>
    </r>
    <r>
      <rPr>
        <b/>
        <sz val="11"/>
        <color indexed="8"/>
        <rFont val="Calibri"/>
        <family val="2"/>
        <scheme val="minor"/>
      </rPr>
      <t xml:space="preserve">DF </t>
    </r>
    <r>
      <rPr>
        <b/>
        <sz val="11"/>
        <rFont val="Calibri"/>
        <family val="2"/>
        <scheme val="minor"/>
      </rPr>
      <t xml:space="preserve"> </t>
    </r>
  </si>
  <si>
    <r>
      <t xml:space="preserve"> </t>
    </r>
    <r>
      <rPr>
        <b/>
        <sz val="11"/>
        <color indexed="8"/>
        <rFont val="Calibri"/>
        <family val="2"/>
        <scheme val="minor"/>
      </rPr>
      <t xml:space="preserve">Costs </t>
    </r>
    <r>
      <rPr>
        <b/>
        <sz val="11"/>
        <rFont val="Calibri"/>
        <family val="2"/>
        <scheme val="minor"/>
      </rPr>
      <t xml:space="preserve"> ($/MBF)</t>
    </r>
  </si>
  <si>
    <r>
      <t xml:space="preserve"> </t>
    </r>
    <r>
      <rPr>
        <b/>
        <sz val="11"/>
        <color indexed="8"/>
        <rFont val="Calibri"/>
        <family val="2"/>
        <scheme val="minor"/>
      </rPr>
      <t xml:space="preserve">Treatment </t>
    </r>
    <r>
      <rPr>
        <b/>
        <sz val="11"/>
        <rFont val="Calibri"/>
        <family val="2"/>
        <scheme val="minor"/>
      </rPr>
      <t xml:space="preserve"> ($/MBF)</t>
    </r>
  </si>
  <si>
    <r>
      <t xml:space="preserve"> </t>
    </r>
    <r>
      <rPr>
        <b/>
        <sz val="11"/>
        <color indexed="8"/>
        <rFont val="Calibri"/>
        <family val="2"/>
        <scheme val="minor"/>
      </rPr>
      <t xml:space="preserve">Planting </t>
    </r>
    <r>
      <rPr>
        <b/>
        <sz val="11"/>
        <rFont val="Calibri"/>
        <family val="2"/>
        <scheme val="minor"/>
      </rPr>
      <t xml:space="preserve"> ($/MBF)</t>
    </r>
  </si>
  <si>
    <t>Acres Treated with Herbicide</t>
  </si>
  <si>
    <t>Period</t>
  </si>
  <si>
    <t>% Treated</t>
  </si>
  <si>
    <t>Acres</t>
  </si>
  <si>
    <t>Cost /
MBF</t>
  </si>
  <si>
    <t>Cost /
acre</t>
  </si>
  <si>
    <t>Cost</t>
  </si>
  <si>
    <t>Acres Planted</t>
  </si>
  <si>
    <t>% Planted</t>
  </si>
  <si>
    <r>
      <t xml:space="preserve"> </t>
    </r>
    <r>
      <rPr>
        <b/>
        <sz val="11"/>
        <color indexed="8"/>
        <rFont val="Calibri"/>
        <family val="2"/>
        <scheme val="minor"/>
      </rPr>
      <t xml:space="preserve">Taxes </t>
    </r>
    <r>
      <rPr>
        <b/>
        <sz val="11"/>
        <rFont val="Calibri"/>
        <family val="2"/>
        <scheme val="minor"/>
      </rPr>
      <t xml:space="preserve"> ($/MBF)</t>
    </r>
  </si>
  <si>
    <r>
      <t xml:space="preserve"> </t>
    </r>
    <r>
      <rPr>
        <b/>
        <sz val="11"/>
        <color indexed="8"/>
        <rFont val="Calibri"/>
        <family val="2"/>
        <scheme val="minor"/>
      </rPr>
      <t xml:space="preserve">Value </t>
    </r>
    <r>
      <rPr>
        <b/>
        <sz val="11"/>
        <rFont val="Calibri"/>
        <family val="2"/>
        <scheme val="minor"/>
      </rPr>
      <t xml:space="preserve"> ($/MBF)</t>
    </r>
  </si>
  <si>
    <t>Total</t>
  </si>
  <si>
    <t>Value ($)</t>
  </si>
  <si>
    <t>Value</t>
  </si>
  <si>
    <t>$/MBF</t>
  </si>
  <si>
    <t>Cost ($/MBF)</t>
  </si>
  <si>
    <r>
      <t xml:space="preserve"> </t>
    </r>
    <r>
      <rPr>
        <b/>
        <sz val="11"/>
        <color indexed="8"/>
        <rFont val="Calibri"/>
        <family val="2"/>
        <scheme val="minor"/>
      </rPr>
      <t xml:space="preserve">Net </t>
    </r>
    <r>
      <rPr>
        <b/>
        <sz val="11"/>
        <rFont val="Calibri"/>
        <family val="2"/>
        <scheme val="minor"/>
      </rPr>
      <t xml:space="preserve"> $</t>
    </r>
  </si>
  <si>
    <t>NPV</t>
  </si>
  <si>
    <t>$</t>
  </si>
  <si>
    <t>Road Maintenance</t>
  </si>
  <si>
    <t>Kelly Road Toll</t>
  </si>
  <si>
    <t xml:space="preserve"> Log Prices by Spcs</t>
  </si>
  <si>
    <t>BFharv</t>
  </si>
  <si>
    <t>The growth and yield modeling has an uneven flow of timber harvests (because stands are only entered once every 10 years); however, the herbicide treatments are projected to be a constant effort. Thus, some periods, especially the early years, where costs exceed revenue before stand treatments and growth/harvesting align. There is a posistive NPV throughout.</t>
  </si>
  <si>
    <t>Unconstrained Mgnt Regime Acres</t>
  </si>
  <si>
    <t>Forested Acres</t>
  </si>
  <si>
    <t>net $</t>
  </si>
  <si>
    <t>Net Delivered Log Value/MBF</t>
  </si>
  <si>
    <t>Inflation</t>
  </si>
  <si>
    <t>RPF</t>
  </si>
  <si>
    <t>Botany</t>
  </si>
  <si>
    <t>Geology</t>
  </si>
  <si>
    <t>NSO</t>
  </si>
  <si>
    <t>Rate/Hour</t>
  </si>
  <si>
    <t>total</t>
  </si>
  <si>
    <t>rate per/MBF</t>
  </si>
  <si>
    <t>Logging supervision cost is based on 8 hours/week RPF time for the duration of operations (3 months)</t>
  </si>
  <si>
    <t>rate/hour</t>
  </si>
  <si>
    <t>total cost</t>
  </si>
  <si>
    <t>cost/MBF</t>
  </si>
  <si>
    <t>Tech</t>
  </si>
  <si>
    <t>Category</t>
  </si>
  <si>
    <t>NA</t>
  </si>
  <si>
    <t xml:space="preserve">The feasibility estimate uses a real price appreciation rate of 0.5%; this value is used to account for the increasing cost of goods - gas, trucks, logging equipment, etc - over time. </t>
  </si>
  <si>
    <t>Log prices (MBF) by species are a conservative, approximate price per MBF value by diameter/price weighted average. See the logging contracts for ( LogSaleContract_MFP.pdf &amp; LogSaleContract_RE.pdf &amp; LogSaleContract_AG.pdf)</t>
  </si>
  <si>
    <t>The property management of $7/MBF cost includes the miscellanous costs related to supporting of the RPF and technician; oversight from the timberland manager, support from analysts and accountants, security contractors, equipment costs, and so on</t>
  </si>
  <si>
    <t>Hours/week</t>
  </si>
  <si>
    <t>Total Hours</t>
  </si>
  <si>
    <t>Logging and hauling costs are estimated from current logging and hauling costs (LoggingContract_OlsenGulch.pdf &amp; LoggingContract_Graphite.pdf). Note that logging is contracted by MBF and hauling  is billed by the hour</t>
  </si>
  <si>
    <t>Road maintenance is an estimated cost based on activities associated with road construction and grading prior to log hauling, ungrading culverts, repairing roads, etc</t>
  </si>
  <si>
    <t>Tree planting costs are an estimated cost on a per acre basis from the hourly rate and billing of vegetation management crews (TreePlantContract_RR.pdf); a crew of 5-6 can plant about 1 acre an hour, plus seedling costs</t>
  </si>
  <si>
    <t>Herbicide costs are an estimated cost on a per acre basis from the hourly rate and billing of vegetation management crews (HerbicideTreatmentContract_H&amp;S_RR.pdf &amp; HerbicideTreatmentBill_2008_RR.pdf); a crew of 4-5 can treat about 1 acre an hour, plus chemical and equipment costs</t>
  </si>
  <si>
    <t>And inflation rate of 0% is used because sawtimber prices (the only product class on the Project) historically have fluctated over time (see PNW_Hayes.pdf, pg 1) but values have been generally been flat, and there is no information that suggests a postive or a negative price trend over the baseline timeline</t>
  </si>
  <si>
    <t>Logging systems are assumed to be a 50% tractor/50% cable split; this is the historical average of the Garcia plans, and given the contraints on the terrain, it is reasonable to assume that it will continue.</t>
  </si>
  <si>
    <t>Yield tax rate is in dollars.</t>
  </si>
  <si>
    <t>Database: GRF_HarvestAnalysis.mdb (query: BFtotal_byYear&amp;Group_DFRWWW)</t>
  </si>
  <si>
    <t>SpeciesGroup</t>
  </si>
  <si>
    <t>WW</t>
  </si>
  <si>
    <t xml:space="preserve">THP preparation costs are based on an approximate cost to layout and execute a 300 acre plan which yield 2.5 million BF. Costs include: an RPF's time (~3 months) to layout and write a THP, conduct field visits, respond to agencies, and provide documentation; a forestry technician's time (~3 months) to flag watercourses, boundaries and paint trees; botanical site visits by consultants; geology site vists by consultants; and NSO surveys by consultants. </t>
  </si>
  <si>
    <t xml:space="preserve">Discount rate of 7% was selected because in forestry, discount rates range based on the property and region (between 5-10%). (Sewall 2006.pdf, pg 3) Discounts rates in California are in the slightly higher range to reflect the fluctuating regulatory environment and land pressures </t>
  </si>
  <si>
    <t>This business as usual harvest regime is an aggressive harvest regime designed to maximize yield. During the course of the first 10 year period, it is assumed that the forest owners will treat ~50% of the forest with herbicide. These acres are based on unconstrained management acres (acres which are not in WLPZ Class1, WLPZ Class 2,  NSO or Special Status Species area). As the aggressive management takes effect, it is assumed that the areas requiring hardwood treatment will be reduced over time. Nearing the end of the 111-year scenario, about 15% of the unconstrained management acres over a 10-year period will be treated. 
Similarly, under the business-as-usual scenario, 25% of the unconstrained acres are modeled as being planted over a ten year period. Over time as the forest moves toward stands which can be sustained with natural regeneration (selection harvesting) planting levels drop to 10% of the property over a ten year period. The modeled Planted Acres for the Unconstrained management regime under the baseline scenario project slightly lower numbers, but have a similar magnitude and trend.  
Note: these acres are an estimate based on the business-as-usual scenario. The treatments are am aggressive treatment schedules, which ultimately provide a more conservative financial valuation of the property.</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</si>
</sst>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_(* #,##0_);_(* \(#,##0\);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color indexed="8"/>
      <name val="Calibri"/>
      <family val="2"/>
      <scheme val="minor"/>
    </font>
    <font>
      <b/>
      <sz val="11"/>
      <name val="Calibri"/>
      <family val="2"/>
      <scheme val="minor"/>
    </font>
    <font>
      <sz val="11"/>
      <color theme="0" tint="-0.499984740745262"/>
      <name val="Calibri"/>
      <family val="2"/>
      <scheme val="minor"/>
    </font>
    <font>
      <sz val="11"/>
      <color indexed="8"/>
      <name val="Calibri"/>
      <family val="2"/>
    </font>
    <font>
      <sz val="10"/>
      <color indexed="8"/>
      <name val="Arial"/>
      <family val="2"/>
    </font>
    <font>
      <i/>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indexed="22"/>
        <bgColor indexed="0"/>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8"/>
      </left>
      <right style="thin">
        <color indexed="8"/>
      </right>
      <top/>
      <bottom style="thin">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thin">
        <color indexed="8"/>
      </left>
      <right style="thin">
        <color indexed="8"/>
      </right>
      <top style="thin">
        <color indexed="8"/>
      </top>
      <bottom style="thin">
        <color indexed="8"/>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0" fontId="8" fillId="0" borderId="0"/>
  </cellStyleXfs>
  <cellXfs count="153">
    <xf numFmtId="0" fontId="0" fillId="0" borderId="0" xfId="0"/>
    <xf numFmtId="0" fontId="0" fillId="0" borderId="0" xfId="0" applyFont="1" applyAlignment="1">
      <alignment horizontal="center"/>
    </xf>
    <xf numFmtId="0" fontId="3" fillId="0" borderId="0" xfId="0" applyNumberFormat="1" applyFont="1" applyFill="1" applyBorder="1" applyAlignment="1" applyProtection="1">
      <alignment horizontal="center"/>
    </xf>
    <xf numFmtId="0" fontId="0" fillId="0" borderId="0" xfId="0" applyFont="1" applyFill="1" applyAlignment="1">
      <alignment horizontal="center"/>
    </xf>
    <xf numFmtId="3" fontId="3" fillId="0" borderId="0" xfId="0" applyNumberFormat="1" applyFont="1" applyFill="1" applyBorder="1" applyAlignment="1" applyProtection="1">
      <alignment horizontal="center"/>
    </xf>
    <xf numFmtId="6" fontId="3" fillId="0" borderId="0" xfId="0" applyNumberFormat="1" applyFont="1" applyFill="1" applyBorder="1" applyAlignment="1" applyProtection="1">
      <alignment horizontal="center"/>
    </xf>
    <xf numFmtId="164" fontId="3" fillId="0" borderId="0" xfId="0" applyNumberFormat="1" applyFont="1" applyFill="1" applyBorder="1" applyAlignment="1" applyProtection="1">
      <alignment horizontal="center"/>
    </xf>
    <xf numFmtId="0" fontId="2" fillId="0" borderId="0" xfId="0" applyFont="1" applyFill="1" applyAlignment="1">
      <alignment horizontal="center"/>
    </xf>
    <xf numFmtId="0" fontId="5" fillId="0" borderId="0" xfId="0" applyNumberFormat="1" applyFont="1" applyFill="1" applyBorder="1" applyAlignment="1" applyProtection="1">
      <alignment horizontal="center"/>
    </xf>
    <xf numFmtId="0" fontId="4" fillId="0" borderId="0" xfId="0" applyNumberFormat="1" applyFont="1" applyFill="1" applyBorder="1" applyAlignment="1" applyProtection="1">
      <alignment horizontal="center"/>
    </xf>
    <xf numFmtId="0" fontId="2" fillId="0" borderId="0" xfId="0" applyFont="1" applyAlignment="1">
      <alignment horizontal="center"/>
    </xf>
    <xf numFmtId="0" fontId="0" fillId="0" borderId="0" xfId="0" applyFont="1" applyFill="1" applyBorder="1" applyAlignment="1">
      <alignment horizontal="center"/>
    </xf>
    <xf numFmtId="9" fontId="0" fillId="0" borderId="10" xfId="0" applyNumberFormat="1"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9" fontId="0" fillId="0" borderId="13" xfId="0" applyNumberFormat="1" applyFont="1" applyBorder="1" applyAlignment="1">
      <alignment horizontal="center"/>
    </xf>
    <xf numFmtId="0" fontId="0" fillId="0" borderId="1" xfId="0" applyFont="1" applyBorder="1" applyAlignment="1">
      <alignment horizontal="center"/>
    </xf>
    <xf numFmtId="0" fontId="0" fillId="0" borderId="14" xfId="0" applyFont="1" applyBorder="1" applyAlignment="1">
      <alignment horizontal="center"/>
    </xf>
    <xf numFmtId="10" fontId="0" fillId="0" borderId="13" xfId="0" applyNumberFormat="1" applyFont="1" applyBorder="1" applyAlignment="1">
      <alignment horizontal="center"/>
    </xf>
    <xf numFmtId="10" fontId="2" fillId="0" borderId="13" xfId="0" applyNumberFormat="1" applyFont="1" applyBorder="1" applyAlignment="1">
      <alignment horizontal="center"/>
    </xf>
    <xf numFmtId="0" fontId="2" fillId="0" borderId="1" xfId="0" applyFont="1" applyBorder="1" applyAlignment="1">
      <alignment horizontal="center"/>
    </xf>
    <xf numFmtId="6" fontId="0" fillId="0" borderId="17" xfId="0" applyNumberFormat="1" applyFont="1" applyBorder="1" applyAlignment="1">
      <alignment horizontal="center"/>
    </xf>
    <xf numFmtId="9" fontId="0" fillId="0" borderId="0" xfId="0" applyNumberFormat="1" applyFont="1" applyAlignment="1">
      <alignment horizontal="center"/>
    </xf>
    <xf numFmtId="0" fontId="2" fillId="0" borderId="2" xfId="0" applyFont="1" applyBorder="1" applyAlignment="1">
      <alignment horizontal="center"/>
    </xf>
    <xf numFmtId="0" fontId="5" fillId="0" borderId="7" xfId="0" applyNumberFormat="1" applyFont="1" applyFill="1" applyBorder="1" applyAlignment="1" applyProtection="1">
      <alignment horizontal="center"/>
    </xf>
    <xf numFmtId="6" fontId="3" fillId="0" borderId="10" xfId="0" applyNumberFormat="1" applyFont="1" applyFill="1" applyBorder="1" applyAlignment="1" applyProtection="1">
      <alignment horizontal="center"/>
    </xf>
    <xf numFmtId="3" fontId="3" fillId="0" borderId="11" xfId="0" applyNumberFormat="1" applyFont="1" applyFill="1" applyBorder="1" applyAlignment="1" applyProtection="1">
      <alignment horizontal="center"/>
    </xf>
    <xf numFmtId="165" fontId="3" fillId="0" borderId="11" xfId="1" applyNumberFormat="1" applyFont="1" applyFill="1" applyBorder="1" applyAlignment="1" applyProtection="1">
      <alignment horizontal="center"/>
    </xf>
    <xf numFmtId="0" fontId="5" fillId="0" borderId="8" xfId="0" applyNumberFormat="1" applyFont="1" applyFill="1" applyBorder="1" applyAlignment="1" applyProtection="1">
      <alignment horizontal="center"/>
    </xf>
    <xf numFmtId="0" fontId="0" fillId="0" borderId="13" xfId="0" applyFont="1" applyFill="1" applyBorder="1" applyAlignment="1">
      <alignment horizontal="center"/>
    </xf>
    <xf numFmtId="0" fontId="0" fillId="0" borderId="1" xfId="0" applyFont="1" applyFill="1" applyBorder="1" applyAlignment="1">
      <alignment horizontal="center"/>
    </xf>
    <xf numFmtId="164" fontId="3" fillId="0" borderId="14" xfId="0" applyNumberFormat="1" applyFont="1" applyFill="1" applyBorder="1" applyAlignment="1" applyProtection="1">
      <alignment horizontal="center"/>
    </xf>
    <xf numFmtId="6" fontId="0" fillId="0" borderId="13" xfId="0" applyNumberFormat="1" applyFont="1" applyFill="1" applyBorder="1" applyAlignment="1">
      <alignment horizontal="center"/>
    </xf>
    <xf numFmtId="0" fontId="0" fillId="0" borderId="16" xfId="0" applyFont="1" applyFill="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9" fontId="0" fillId="0" borderId="1" xfId="0" applyNumberFormat="1" applyFont="1" applyFill="1" applyBorder="1" applyAlignment="1">
      <alignment horizontal="center"/>
    </xf>
    <xf numFmtId="9" fontId="0" fillId="0" borderId="16" xfId="0" applyNumberFormat="1" applyFont="1" applyFill="1" applyBorder="1" applyAlignment="1">
      <alignment horizontal="center"/>
    </xf>
    <xf numFmtId="6" fontId="0" fillId="0" borderId="7" xfId="0" applyNumberFormat="1" applyFont="1" applyBorder="1" applyAlignment="1">
      <alignment horizontal="center"/>
    </xf>
    <xf numFmtId="6" fontId="0" fillId="0" borderId="8" xfId="0" applyNumberFormat="1" applyFont="1" applyBorder="1" applyAlignment="1">
      <alignment horizontal="center"/>
    </xf>
    <xf numFmtId="6" fontId="0" fillId="0" borderId="9" xfId="0" applyNumberFormat="1" applyFont="1" applyBorder="1" applyAlignment="1">
      <alignment horizontal="center"/>
    </xf>
    <xf numFmtId="8" fontId="3" fillId="0" borderId="0" xfId="0" applyNumberFormat="1" applyFont="1" applyFill="1" applyBorder="1" applyAlignment="1" applyProtection="1">
      <alignment horizontal="center"/>
    </xf>
    <xf numFmtId="3" fontId="0" fillId="0" borderId="0" xfId="0" applyNumberFormat="1" applyFont="1" applyAlignment="1">
      <alignment horizontal="center"/>
    </xf>
    <xf numFmtId="0" fontId="0" fillId="0" borderId="0" xfId="0" applyFont="1" applyAlignment="1">
      <alignment horizontal="center" wrapText="1"/>
    </xf>
    <xf numFmtId="0" fontId="5" fillId="0" borderId="22" xfId="0" applyNumberFormat="1" applyFont="1" applyFill="1" applyBorder="1" applyAlignment="1" applyProtection="1">
      <alignment horizontal="center"/>
    </xf>
    <xf numFmtId="6" fontId="0" fillId="0" borderId="23" xfId="0" applyNumberFormat="1" applyFont="1" applyFill="1" applyBorder="1" applyAlignment="1">
      <alignment horizontal="center"/>
    </xf>
    <xf numFmtId="0" fontId="0" fillId="0" borderId="24" xfId="0" applyFont="1" applyFill="1" applyBorder="1" applyAlignment="1">
      <alignment horizontal="center"/>
    </xf>
    <xf numFmtId="164" fontId="3" fillId="0" borderId="25" xfId="0" applyNumberFormat="1" applyFont="1" applyFill="1" applyBorder="1" applyAlignment="1" applyProtection="1">
      <alignment horizontal="center"/>
    </xf>
    <xf numFmtId="0" fontId="5" fillId="0" borderId="2" xfId="0" applyNumberFormat="1" applyFont="1" applyFill="1" applyBorder="1" applyAlignment="1" applyProtection="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164" fontId="5" fillId="0" borderId="6" xfId="0" applyNumberFormat="1" applyFont="1" applyFill="1" applyBorder="1" applyAlignment="1" applyProtection="1">
      <alignment horizontal="center"/>
    </xf>
    <xf numFmtId="8" fontId="2" fillId="0" borderId="0" xfId="0" applyNumberFormat="1" applyFont="1" applyAlignment="1">
      <alignment horizontal="center"/>
    </xf>
    <xf numFmtId="0" fontId="5" fillId="0" borderId="0" xfId="0" applyNumberFormat="1" applyFont="1" applyFill="1" applyBorder="1" applyAlignment="1" applyProtection="1">
      <alignment horizontal="center"/>
    </xf>
    <xf numFmtId="0" fontId="6" fillId="0" borderId="0" xfId="0" applyFont="1" applyAlignment="1">
      <alignment horizontal="center"/>
    </xf>
    <xf numFmtId="0" fontId="5" fillId="0" borderId="0" xfId="0" applyNumberFormat="1" applyFont="1" applyFill="1" applyBorder="1" applyAlignment="1" applyProtection="1">
      <alignment horizontal="center"/>
    </xf>
    <xf numFmtId="0" fontId="0" fillId="0" borderId="0" xfId="0" applyFont="1" applyAlignment="1">
      <alignment horizontal="left"/>
    </xf>
    <xf numFmtId="0" fontId="0" fillId="0" borderId="0" xfId="0" applyFont="1" applyAlignment="1">
      <alignment horizontal="left" vertical="top"/>
    </xf>
    <xf numFmtId="0" fontId="7" fillId="0" borderId="18" xfId="3" applyFont="1" applyFill="1" applyBorder="1" applyAlignment="1">
      <alignment horizontal="right" wrapText="1"/>
    </xf>
    <xf numFmtId="165" fontId="3" fillId="0" borderId="0" xfId="0" applyNumberFormat="1" applyFont="1" applyFill="1" applyBorder="1" applyAlignment="1" applyProtection="1">
      <alignment horizontal="center"/>
    </xf>
    <xf numFmtId="0" fontId="5" fillId="0" borderId="26" xfId="0" applyNumberFormat="1" applyFont="1" applyFill="1" applyBorder="1" applyAlignment="1" applyProtection="1">
      <alignment horizontal="center"/>
    </xf>
    <xf numFmtId="0" fontId="7" fillId="3" borderId="27" xfId="3" applyFont="1" applyFill="1" applyBorder="1" applyAlignment="1">
      <alignment horizontal="center"/>
    </xf>
    <xf numFmtId="0" fontId="5" fillId="0" borderId="28" xfId="0" applyNumberFormat="1" applyFont="1" applyFill="1" applyBorder="1" applyAlignment="1" applyProtection="1">
      <alignment horizontal="center"/>
    </xf>
    <xf numFmtId="0" fontId="5" fillId="0" borderId="29" xfId="0" applyNumberFormat="1" applyFont="1" applyFill="1" applyBorder="1" applyAlignment="1" applyProtection="1">
      <alignment horizontal="center"/>
    </xf>
    <xf numFmtId="0" fontId="5" fillId="0" borderId="30" xfId="0" applyNumberFormat="1" applyFont="1" applyFill="1" applyBorder="1" applyAlignment="1" applyProtection="1">
      <alignment horizontal="center"/>
    </xf>
    <xf numFmtId="0" fontId="2" fillId="0" borderId="31" xfId="0" applyFont="1" applyFill="1" applyBorder="1" applyAlignment="1">
      <alignment horizontal="center"/>
    </xf>
    <xf numFmtId="0" fontId="2" fillId="0" borderId="32" xfId="0" applyFont="1" applyFill="1" applyBorder="1" applyAlignment="1">
      <alignment horizontal="center"/>
    </xf>
    <xf numFmtId="0" fontId="2" fillId="0" borderId="32" xfId="0" applyFont="1" applyFill="1" applyBorder="1" applyAlignment="1">
      <alignment horizontal="center" wrapText="1"/>
    </xf>
    <xf numFmtId="0" fontId="5" fillId="0" borderId="33" xfId="0" applyNumberFormat="1" applyFont="1" applyFill="1" applyBorder="1" applyAlignment="1" applyProtection="1">
      <alignment horizontal="center"/>
    </xf>
    <xf numFmtId="0" fontId="2" fillId="0" borderId="34" xfId="0" applyFont="1" applyBorder="1" applyAlignment="1">
      <alignment horizontal="center"/>
    </xf>
    <xf numFmtId="0" fontId="6" fillId="2" borderId="3" xfId="0" applyFont="1" applyFill="1" applyBorder="1" applyAlignment="1">
      <alignment horizontal="center"/>
    </xf>
    <xf numFmtId="166" fontId="3" fillId="0" borderId="1" xfId="2" applyNumberFormat="1" applyFont="1" applyFill="1" applyBorder="1" applyAlignment="1" applyProtection="1">
      <alignment horizontal="center"/>
    </xf>
    <xf numFmtId="0" fontId="0" fillId="0" borderId="10" xfId="0" applyFont="1" applyFill="1" applyBorder="1" applyAlignment="1">
      <alignment horizontal="center"/>
    </xf>
    <xf numFmtId="0" fontId="0" fillId="0" borderId="11" xfId="0" applyFont="1" applyFill="1" applyBorder="1" applyAlignment="1">
      <alignment horizontal="center"/>
    </xf>
    <xf numFmtId="9" fontId="0" fillId="0" borderId="11" xfId="0" applyNumberFormat="1" applyFont="1" applyFill="1" applyBorder="1" applyAlignment="1">
      <alignment horizontal="center"/>
    </xf>
    <xf numFmtId="166" fontId="3" fillId="0" borderId="11" xfId="2" applyNumberFormat="1" applyFont="1" applyFill="1" applyBorder="1" applyAlignment="1" applyProtection="1">
      <alignment horizontal="center"/>
    </xf>
    <xf numFmtId="6" fontId="0" fillId="0" borderId="12" xfId="0" applyNumberFormat="1" applyFont="1" applyBorder="1" applyAlignment="1">
      <alignment horizontal="center"/>
    </xf>
    <xf numFmtId="6" fontId="0" fillId="0" borderId="14" xfId="0" applyNumberFormat="1" applyFont="1" applyBorder="1" applyAlignment="1">
      <alignment horizontal="center"/>
    </xf>
    <xf numFmtId="0" fontId="0" fillId="0" borderId="15" xfId="0" applyFont="1" applyFill="1" applyBorder="1" applyAlignment="1">
      <alignment horizontal="center"/>
    </xf>
    <xf numFmtId="1" fontId="3" fillId="0" borderId="12" xfId="0" applyNumberFormat="1" applyFont="1" applyFill="1" applyBorder="1" applyAlignment="1" applyProtection="1">
      <alignment horizontal="center"/>
    </xf>
    <xf numFmtId="1" fontId="3" fillId="0" borderId="14" xfId="0" applyNumberFormat="1" applyFont="1" applyFill="1" applyBorder="1" applyAlignment="1" applyProtection="1">
      <alignment horizontal="center"/>
    </xf>
    <xf numFmtId="1" fontId="3" fillId="0" borderId="17" xfId="0" applyNumberFormat="1" applyFont="1" applyFill="1" applyBorder="1" applyAlignment="1" applyProtection="1">
      <alignment horizontal="center"/>
    </xf>
    <xf numFmtId="8" fontId="0" fillId="0" borderId="0" xfId="0" applyNumberFormat="1" applyFont="1" applyAlignment="1">
      <alignment horizontal="center"/>
    </xf>
    <xf numFmtId="43" fontId="0" fillId="0" borderId="0" xfId="0" applyNumberFormat="1" applyFont="1" applyAlignment="1">
      <alignment horizontal="center"/>
    </xf>
    <xf numFmtId="0" fontId="5" fillId="0" borderId="0" xfId="0" applyNumberFormat="1" applyFont="1" applyFill="1" applyBorder="1" applyAlignment="1" applyProtection="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0" fillId="0" borderId="30" xfId="0" applyFont="1" applyBorder="1" applyAlignment="1">
      <alignment horizontal="center"/>
    </xf>
    <xf numFmtId="165" fontId="0" fillId="0" borderId="15" xfId="0" applyNumberFormat="1" applyFont="1" applyBorder="1" applyAlignment="1">
      <alignment horizontal="center"/>
    </xf>
    <xf numFmtId="165" fontId="0" fillId="0" borderId="16" xfId="0" applyNumberFormat="1" applyFont="1" applyBorder="1" applyAlignment="1">
      <alignment horizontal="center"/>
    </xf>
    <xf numFmtId="165" fontId="0" fillId="0" borderId="17" xfId="0" applyNumberFormat="1" applyFont="1" applyBorder="1" applyAlignment="1">
      <alignment horizontal="center"/>
    </xf>
    <xf numFmtId="9" fontId="0" fillId="0" borderId="23" xfId="0" applyNumberFormat="1" applyFont="1" applyBorder="1" applyAlignment="1">
      <alignment horizontal="center"/>
    </xf>
    <xf numFmtId="9" fontId="0" fillId="0" borderId="24" xfId="0" applyNumberFormat="1" applyFont="1" applyBorder="1" applyAlignment="1">
      <alignment horizontal="center"/>
    </xf>
    <xf numFmtId="0" fontId="0" fillId="0" borderId="25" xfId="0" applyFont="1" applyBorder="1" applyAlignment="1">
      <alignment horizontal="center"/>
    </xf>
    <xf numFmtId="9" fontId="2" fillId="0" borderId="10" xfId="0" applyNumberFormat="1" applyFont="1" applyBorder="1" applyAlignment="1">
      <alignment horizontal="center"/>
    </xf>
    <xf numFmtId="9" fontId="2" fillId="0" borderId="11" xfId="0" applyNumberFormat="1" applyFont="1" applyBorder="1" applyAlignment="1">
      <alignment horizontal="center"/>
    </xf>
    <xf numFmtId="0" fontId="2" fillId="0" borderId="12" xfId="0" applyFont="1" applyBorder="1" applyAlignment="1">
      <alignment horizontal="center"/>
    </xf>
    <xf numFmtId="6" fontId="3" fillId="0" borderId="13" xfId="0" applyNumberFormat="1" applyFont="1" applyBorder="1" applyAlignment="1">
      <alignment horizontal="center"/>
    </xf>
    <xf numFmtId="6" fontId="3" fillId="0" borderId="1" xfId="0" applyNumberFormat="1" applyFont="1" applyBorder="1" applyAlignment="1">
      <alignment horizontal="center"/>
    </xf>
    <xf numFmtId="6" fontId="3" fillId="0" borderId="14" xfId="0" applyNumberFormat="1" applyFont="1" applyBorder="1" applyAlignment="1">
      <alignment horizontal="center"/>
    </xf>
    <xf numFmtId="0" fontId="0" fillId="0" borderId="29" xfId="0" applyFont="1" applyBorder="1" applyAlignment="1">
      <alignment horizontal="center"/>
    </xf>
    <xf numFmtId="164" fontId="3" fillId="0" borderId="12" xfId="0" applyNumberFormat="1" applyFont="1" applyFill="1" applyBorder="1" applyAlignment="1" applyProtection="1">
      <alignment horizontal="center"/>
    </xf>
    <xf numFmtId="0" fontId="0" fillId="0" borderId="1" xfId="0" applyBorder="1"/>
    <xf numFmtId="44" fontId="0" fillId="0" borderId="1" xfId="1" applyFont="1" applyBorder="1"/>
    <xf numFmtId="0" fontId="0" fillId="0" borderId="13" xfId="0" applyBorder="1"/>
    <xf numFmtId="0" fontId="0" fillId="0" borderId="39" xfId="0" applyBorder="1"/>
    <xf numFmtId="0" fontId="0" fillId="0" borderId="7" xfId="0" applyBorder="1" applyAlignment="1"/>
    <xf numFmtId="165" fontId="0" fillId="0" borderId="8" xfId="0" applyNumberFormat="1" applyBorder="1"/>
    <xf numFmtId="6" fontId="0" fillId="0" borderId="8" xfId="0" applyNumberFormat="1" applyBorder="1"/>
    <xf numFmtId="164" fontId="0" fillId="0" borderId="9" xfId="0" applyNumberFormat="1" applyBorder="1"/>
    <xf numFmtId="44" fontId="0" fillId="0" borderId="15" xfId="0" applyNumberFormat="1" applyBorder="1"/>
    <xf numFmtId="0" fontId="0" fillId="0" borderId="16" xfId="0" applyBorder="1"/>
    <xf numFmtId="44" fontId="0" fillId="0" borderId="16" xfId="0" applyNumberFormat="1" applyBorder="1"/>
    <xf numFmtId="44" fontId="0" fillId="0" borderId="17" xfId="0" applyNumberFormat="1" applyBorder="1"/>
    <xf numFmtId="0" fontId="2" fillId="0" borderId="10" xfId="0" applyFont="1" applyBorder="1"/>
    <xf numFmtId="0" fontId="2" fillId="0" borderId="11" xfId="0" applyFont="1" applyBorder="1"/>
    <xf numFmtId="0" fontId="2" fillId="0" borderId="12" xfId="0" applyFont="1" applyBorder="1"/>
    <xf numFmtId="0" fontId="2" fillId="0" borderId="10" xfId="0" applyFont="1" applyBorder="1" applyAlignment="1"/>
    <xf numFmtId="0" fontId="2" fillId="0" borderId="11" xfId="0" applyFont="1" applyBorder="1" applyAlignment="1"/>
    <xf numFmtId="0" fontId="2" fillId="0" borderId="38" xfId="0" applyFont="1" applyBorder="1" applyAlignment="1"/>
    <xf numFmtId="164" fontId="9" fillId="0" borderId="8" xfId="0" applyNumberFormat="1" applyFont="1" applyBorder="1"/>
    <xf numFmtId="165" fontId="3" fillId="0" borderId="14" xfId="0" applyNumberFormat="1" applyFont="1" applyFill="1" applyBorder="1" applyAlignment="1" applyProtection="1">
      <alignment horizontal="center"/>
    </xf>
    <xf numFmtId="165" fontId="3" fillId="0" borderId="25" xfId="0" applyNumberFormat="1" applyFont="1" applyFill="1" applyBorder="1" applyAlignment="1" applyProtection="1">
      <alignment horizontal="center"/>
    </xf>
    <xf numFmtId="0" fontId="0" fillId="0" borderId="41" xfId="0" applyFont="1" applyFill="1" applyBorder="1" applyAlignment="1">
      <alignment horizontal="center"/>
    </xf>
    <xf numFmtId="0" fontId="0" fillId="0" borderId="3" xfId="0" applyFont="1" applyFill="1" applyBorder="1" applyAlignment="1">
      <alignment horizontal="center"/>
    </xf>
    <xf numFmtId="9" fontId="0" fillId="0" borderId="0" xfId="0" applyNumberFormat="1" applyFont="1" applyFill="1" applyBorder="1" applyAlignment="1">
      <alignment horizontal="center"/>
    </xf>
    <xf numFmtId="166" fontId="3" fillId="0" borderId="0" xfId="2" applyNumberFormat="1" applyFont="1" applyFill="1" applyBorder="1" applyAlignment="1" applyProtection="1">
      <alignment horizontal="center"/>
    </xf>
    <xf numFmtId="6" fontId="0" fillId="0" borderId="0" xfId="0" applyNumberFormat="1" applyFont="1" applyBorder="1" applyAlignment="1">
      <alignment horizontal="center"/>
    </xf>
    <xf numFmtId="166" fontId="3" fillId="0" borderId="16" xfId="2" applyNumberFormat="1" applyFont="1" applyFill="1" applyBorder="1" applyAlignment="1" applyProtection="1">
      <alignment horizontal="center"/>
    </xf>
    <xf numFmtId="0" fontId="3" fillId="0" borderId="0" xfId="0" applyFont="1"/>
    <xf numFmtId="0" fontId="7" fillId="3" borderId="35" xfId="3" applyFont="1" applyFill="1" applyBorder="1" applyAlignment="1">
      <alignment horizontal="center"/>
    </xf>
    <xf numFmtId="0" fontId="0" fillId="0" borderId="0" xfId="0" applyFont="1" applyAlignment="1">
      <alignment horizontal="center" vertical="center" wrapText="1"/>
    </xf>
    <xf numFmtId="0" fontId="5" fillId="0" borderId="19" xfId="0" applyNumberFormat="1" applyFont="1" applyFill="1" applyBorder="1" applyAlignment="1" applyProtection="1">
      <alignment horizontal="center"/>
    </xf>
    <xf numFmtId="0" fontId="5" fillId="0" borderId="20" xfId="0" applyNumberFormat="1" applyFont="1" applyFill="1" applyBorder="1" applyAlignment="1" applyProtection="1">
      <alignment horizontal="center"/>
    </xf>
    <xf numFmtId="0" fontId="5" fillId="0" borderId="21" xfId="0" applyNumberFormat="1" applyFont="1" applyFill="1" applyBorder="1" applyAlignment="1" applyProtection="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5" fillId="0" borderId="0" xfId="0" applyNumberFormat="1" applyFont="1" applyFill="1" applyBorder="1" applyAlignment="1" applyProtection="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36" xfId="0" applyFont="1" applyBorder="1" applyAlignment="1">
      <alignment horizontal="center"/>
    </xf>
    <xf numFmtId="0" fontId="2" fillId="0" borderId="22"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left" vertical="center" wrapText="1"/>
    </xf>
    <xf numFmtId="0" fontId="9" fillId="0" borderId="13" xfId="0" applyFont="1" applyBorder="1" applyAlignment="1">
      <alignment horizontal="center"/>
    </xf>
    <xf numFmtId="0" fontId="9" fillId="0" borderId="1" xfId="0" applyFont="1" applyBorder="1" applyAlignment="1">
      <alignment horizontal="center"/>
    </xf>
    <xf numFmtId="0" fontId="9" fillId="0" borderId="39" xfId="0" applyFon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18" xfId="3" applyFont="1" applyFill="1" applyBorder="1" applyAlignment="1">
      <alignment wrapText="1"/>
    </xf>
  </cellXfs>
  <cellStyles count="4">
    <cellStyle name="Comma" xfId="2" builtinId="3"/>
    <cellStyle name="Currency" xfId="1" builtinId="4"/>
    <cellStyle name="Normal" xfId="0" builtinId="0"/>
    <cellStyle name="Normal_FinancialFeasAnalysis"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24"/>
  <sheetViews>
    <sheetView tabSelected="1" topLeftCell="T1" zoomScale="90" zoomScaleNormal="90" workbookViewId="0">
      <pane ySplit="2" topLeftCell="A3" activePane="bottomLeft" state="frozen"/>
      <selection pane="bottomLeft" activeCell="F62" sqref="F62"/>
    </sheetView>
  </sheetViews>
  <sheetFormatPr defaultColWidth="9.125" defaultRowHeight="15" x14ac:dyDescent="0.25"/>
  <cols>
    <col min="1" max="1" width="25" style="1" bestFit="1" customWidth="1"/>
    <col min="2" max="2" width="6.125" style="1" customWidth="1"/>
    <col min="3" max="3" width="8.375" style="1" bestFit="1" customWidth="1"/>
    <col min="4" max="4" width="11" style="1" bestFit="1" customWidth="1"/>
    <col min="5" max="5" width="14.75" style="1" bestFit="1" customWidth="1"/>
    <col min="6" max="6" width="15" style="1" bestFit="1" customWidth="1"/>
    <col min="7" max="7" width="4.75" style="1" customWidth="1"/>
    <col min="8" max="8" width="5.375" style="10" customWidth="1"/>
    <col min="9" max="9" width="6" style="1" bestFit="1" customWidth="1"/>
    <col min="10" max="10" width="8.375" style="1" bestFit="1" customWidth="1"/>
    <col min="11" max="11" width="5.625" style="1" customWidth="1"/>
    <col min="12" max="12" width="8.625" style="1" customWidth="1"/>
    <col min="13" max="13" width="9.125" style="1" customWidth="1"/>
    <col min="14" max="15" width="8.25" style="1" bestFit="1" customWidth="1"/>
    <col min="16" max="16" width="11.75" style="1" customWidth="1"/>
    <col min="17" max="17" width="10.875" style="1" customWidth="1"/>
    <col min="18" max="18" width="14.375" style="1" customWidth="1"/>
    <col min="19" max="19" width="19.125" style="1" customWidth="1"/>
    <col min="20" max="20" width="17" style="1" customWidth="1"/>
    <col min="21" max="22" width="14.75" style="1" customWidth="1"/>
    <col min="23" max="23" width="14.875" style="1" customWidth="1"/>
    <col min="24" max="24" width="14.25" style="1" bestFit="1" customWidth="1"/>
    <col min="25" max="27" width="15.625" style="1" bestFit="1" customWidth="1"/>
    <col min="28" max="16384" width="9.125" style="1"/>
  </cols>
  <sheetData>
    <row r="1" spans="1:31" ht="15.75" thickBot="1" x14ac:dyDescent="0.3">
      <c r="A1" s="140" t="s">
        <v>11</v>
      </c>
      <c r="B1" s="141"/>
      <c r="C1" s="141"/>
      <c r="D1" s="142"/>
      <c r="E1"/>
      <c r="H1" s="7" t="s">
        <v>3</v>
      </c>
      <c r="I1" s="139" t="s">
        <v>27</v>
      </c>
      <c r="J1" s="139"/>
      <c r="K1" s="139"/>
      <c r="L1" s="139"/>
      <c r="M1" s="139" t="s">
        <v>23</v>
      </c>
      <c r="N1" s="139"/>
      <c r="O1" s="139"/>
      <c r="P1" s="8" t="s">
        <v>50</v>
      </c>
      <c r="Q1" s="8" t="s">
        <v>52</v>
      </c>
      <c r="R1" s="8" t="s">
        <v>28</v>
      </c>
      <c r="S1" s="8" t="s">
        <v>26</v>
      </c>
      <c r="T1" s="8" t="s">
        <v>29</v>
      </c>
      <c r="U1" s="8" t="s">
        <v>30</v>
      </c>
      <c r="V1" s="8" t="s">
        <v>50</v>
      </c>
      <c r="W1" s="8" t="s">
        <v>31</v>
      </c>
      <c r="X1" s="8" t="s">
        <v>21</v>
      </c>
      <c r="Y1" s="8" t="s">
        <v>56</v>
      </c>
      <c r="Z1" s="3"/>
      <c r="AA1" s="3"/>
      <c r="AB1" s="3"/>
      <c r="AC1" s="3"/>
      <c r="AD1" s="3"/>
      <c r="AE1" s="3"/>
    </row>
    <row r="2" spans="1:31" x14ac:dyDescent="0.25">
      <c r="A2" s="86" t="s">
        <v>0</v>
      </c>
      <c r="B2" s="12">
        <v>7.0000000000000007E-2</v>
      </c>
      <c r="C2" s="13"/>
      <c r="D2" s="14"/>
      <c r="E2"/>
      <c r="H2" s="8" t="s">
        <v>32</v>
      </c>
      <c r="I2" s="9" t="s">
        <v>13</v>
      </c>
      <c r="J2" s="9" t="s">
        <v>14</v>
      </c>
      <c r="K2" s="8" t="s">
        <v>15</v>
      </c>
      <c r="L2" s="8" t="s">
        <v>33</v>
      </c>
      <c r="M2" s="8" t="s">
        <v>34</v>
      </c>
      <c r="N2" s="8" t="s">
        <v>35</v>
      </c>
      <c r="O2" s="8" t="s">
        <v>15</v>
      </c>
      <c r="P2" s="8" t="s">
        <v>51</v>
      </c>
      <c r="Q2" s="8" t="s">
        <v>53</v>
      </c>
      <c r="R2" s="8" t="s">
        <v>36</v>
      </c>
      <c r="S2" s="8" t="s">
        <v>37</v>
      </c>
      <c r="T2" s="8" t="s">
        <v>38</v>
      </c>
      <c r="U2" s="8" t="s">
        <v>48</v>
      </c>
      <c r="V2" s="8" t="s">
        <v>54</v>
      </c>
      <c r="W2" s="8" t="s">
        <v>49</v>
      </c>
      <c r="X2" s="8" t="s">
        <v>55</v>
      </c>
      <c r="Y2" s="8" t="s">
        <v>57</v>
      </c>
    </row>
    <row r="3" spans="1:31" x14ac:dyDescent="0.25">
      <c r="A3" s="87" t="s">
        <v>67</v>
      </c>
      <c r="B3" s="15">
        <v>0</v>
      </c>
      <c r="C3" s="16"/>
      <c r="D3" s="17"/>
      <c r="E3"/>
      <c r="H3" s="8">
        <v>2004</v>
      </c>
      <c r="I3" s="4">
        <f t="shared" ref="I3:K22" si="0">SUMIFS($E$54:$E$122,$D$54:$D$122,I$2,$B$54:$B$122,"&lt;="&amp;$H3,$C$54:$C$122,"&gt;="&amp;$H3)/1000/5</f>
        <v>6288.1518129947508</v>
      </c>
      <c r="J3" s="4">
        <f t="shared" si="0"/>
        <v>8142.0614035100689</v>
      </c>
      <c r="K3" s="4">
        <f t="shared" si="0"/>
        <v>0</v>
      </c>
      <c r="L3" s="4">
        <f>SUM(I3:K3)</f>
        <v>14430.213216504821</v>
      </c>
      <c r="M3" s="5">
        <f>B9</f>
        <v>720</v>
      </c>
      <c r="N3" s="5">
        <f t="shared" ref="N3:O3" si="1">C9</f>
        <v>455</v>
      </c>
      <c r="O3" s="5">
        <f t="shared" si="1"/>
        <v>335</v>
      </c>
      <c r="P3" s="5">
        <f>I3*M3+J3*N3+K3*O3</f>
        <v>8232107.2439533016</v>
      </c>
      <c r="Q3" s="5">
        <f>P3/L3</f>
        <v>570.47717316731519</v>
      </c>
      <c r="R3" s="60">
        <f>E23</f>
        <v>385.74400000000003</v>
      </c>
      <c r="S3" s="42">
        <f>SUMIFS(F$27:F$37,B$27:B$37,"&lt;="&amp;$H3,C$27:C$37,"&gt;="&amp;H3)/L3/10</f>
        <v>15.266141372605299</v>
      </c>
      <c r="T3" s="42">
        <f>SUMIFS($F$41:$F$50,$B$41:$B$50,"&lt;="&amp;$H3,$C$41:$C$50,"&gt;="&amp;$H3)/$L3/10</f>
        <v>10.177427581736865</v>
      </c>
      <c r="U3" s="6">
        <f>B$5*(I3*M3+J3*N3+K3*O3)/L3</f>
        <v>16.543838021852142</v>
      </c>
      <c r="V3" s="6">
        <f>SUM(R3:U3)</f>
        <v>427.73140697619436</v>
      </c>
      <c r="W3" s="42">
        <f>Q3-V3</f>
        <v>142.74576619112082</v>
      </c>
      <c r="X3" s="42">
        <f>W3*L3</f>
        <v>2059851.8418912187</v>
      </c>
      <c r="Y3" s="42">
        <f>X3</f>
        <v>2059851.8418912187</v>
      </c>
      <c r="AA3" s="53"/>
    </row>
    <row r="4" spans="1:31" x14ac:dyDescent="0.25">
      <c r="A4" s="87" t="s">
        <v>1</v>
      </c>
      <c r="B4" s="18">
        <v>5.0000000000000001E-3</v>
      </c>
      <c r="C4" s="16"/>
      <c r="D4" s="17"/>
      <c r="E4"/>
      <c r="F4" s="83"/>
      <c r="H4" s="8">
        <f>H3+1</f>
        <v>2005</v>
      </c>
      <c r="I4" s="4">
        <f t="shared" si="0"/>
        <v>6288.1518129947508</v>
      </c>
      <c r="J4" s="4">
        <f t="shared" si="0"/>
        <v>8142.0614035100689</v>
      </c>
      <c r="K4" s="4">
        <f t="shared" si="0"/>
        <v>0</v>
      </c>
      <c r="L4" s="4">
        <f t="shared" ref="L4:L15" si="2">SUM(I4:K4)</f>
        <v>14430.213216504821</v>
      </c>
      <c r="M4" s="60">
        <f>M3*(1+$B$4)</f>
        <v>723.59999999999991</v>
      </c>
      <c r="N4" s="60">
        <f t="shared" ref="N4:O4" si="3">N3*(1+$B$4)</f>
        <v>457.27499999999998</v>
      </c>
      <c r="O4" s="60">
        <f t="shared" si="3"/>
        <v>336.67499999999995</v>
      </c>
      <c r="P4" s="5">
        <f t="shared" ref="P4:P34" si="4">I4*M4+J4*N4+K4*O4</f>
        <v>8273267.7801730679</v>
      </c>
      <c r="Q4" s="5">
        <f t="shared" ref="Q4:Q34" si="5">P4/L4</f>
        <v>573.32955903315178</v>
      </c>
      <c r="R4" s="60">
        <f>R3</f>
        <v>385.74400000000003</v>
      </c>
      <c r="S4" s="42">
        <f t="shared" ref="S4:S67" si="6">SUMIFS(F$27:F$37,B$27:B$37,"&lt;="&amp;$H4,C$27:C$37,"&gt;="&amp;H4)/L4/10</f>
        <v>15.266141372605299</v>
      </c>
      <c r="T4" s="42">
        <f t="shared" ref="T4:T14" si="7">SUMIFS($F$41:$F$50,$B$41:$B$50,"&lt;="&amp;$H4,$C$41:$C$50,"&gt;="&amp;$H4)/$L4/10</f>
        <v>10.177427581736865</v>
      </c>
      <c r="U4" s="6">
        <f t="shared" ref="U4:U34" si="8">B$5*(I4*M4+J4*N4+K4*O4)/L4</f>
        <v>16.626557211961401</v>
      </c>
      <c r="V4" s="6">
        <f t="shared" ref="V4:V67" si="9">SUM(R4:U4)</f>
        <v>427.81412616630365</v>
      </c>
      <c r="W4" s="42">
        <f t="shared" ref="W4:W67" si="10">Q4-V4</f>
        <v>145.51543286684813</v>
      </c>
      <c r="X4" s="42">
        <f t="shared" ref="X4:X34" si="11">W4*L4</f>
        <v>2099818.722560612</v>
      </c>
      <c r="Y4" s="42">
        <f>NPV(B$2,X$4:X4)</f>
        <v>1962447.404262254</v>
      </c>
      <c r="Z4" s="53">
        <f>NPV($B$2,X4:X113)</f>
        <v>13598862.491724508</v>
      </c>
    </row>
    <row r="5" spans="1:31" x14ac:dyDescent="0.25">
      <c r="A5" s="87" t="s">
        <v>2</v>
      </c>
      <c r="B5" s="18">
        <v>2.9000000000000001E-2</v>
      </c>
      <c r="C5" s="16" t="s">
        <v>65</v>
      </c>
      <c r="D5" s="17"/>
      <c r="E5"/>
      <c r="F5" s="83"/>
      <c r="H5" s="8">
        <f t="shared" ref="H5:H68" si="12">H4+1</f>
        <v>2006</v>
      </c>
      <c r="I5" s="4">
        <f t="shared" si="0"/>
        <v>6288.1518129947508</v>
      </c>
      <c r="J5" s="4">
        <f t="shared" si="0"/>
        <v>8142.0614035100689</v>
      </c>
      <c r="K5" s="4">
        <f t="shared" si="0"/>
        <v>0</v>
      </c>
      <c r="L5" s="4">
        <f t="shared" si="2"/>
        <v>14430.213216504821</v>
      </c>
      <c r="M5" s="60">
        <f t="shared" ref="M5:M24" si="13">M4*(1+$B$4)</f>
        <v>727.21799999999985</v>
      </c>
      <c r="N5" s="60">
        <f t="shared" ref="N5:N24" si="14">N4*(1+$B$4)</f>
        <v>459.56137499999994</v>
      </c>
      <c r="O5" s="60">
        <f t="shared" ref="O5:O24" si="15">O4*(1+$B$4)</f>
        <v>338.35837499999991</v>
      </c>
      <c r="P5" s="5">
        <f t="shared" si="4"/>
        <v>8314634.1190739321</v>
      </c>
      <c r="Q5" s="5">
        <f t="shared" si="5"/>
        <v>576.19620682831749</v>
      </c>
      <c r="R5" s="60">
        <f t="shared" ref="R5:R68" si="16">R4</f>
        <v>385.74400000000003</v>
      </c>
      <c r="S5" s="42">
        <f t="shared" si="6"/>
        <v>15.266141372605299</v>
      </c>
      <c r="T5" s="42">
        <f t="shared" si="7"/>
        <v>10.177427581736865</v>
      </c>
      <c r="U5" s="6">
        <f t="shared" si="8"/>
        <v>16.709689998021208</v>
      </c>
      <c r="V5" s="6">
        <f t="shared" si="9"/>
        <v>427.89725895236342</v>
      </c>
      <c r="W5" s="42">
        <f t="shared" si="10"/>
        <v>148.29894787595407</v>
      </c>
      <c r="X5" s="42">
        <f t="shared" si="11"/>
        <v>2139985.4376333519</v>
      </c>
      <c r="Y5" s="42">
        <f>NPV(B$2,X$4:X5)</f>
        <v>3831593.5634319205</v>
      </c>
    </row>
    <row r="6" spans="1:31" x14ac:dyDescent="0.25">
      <c r="A6" s="143" t="s">
        <v>8</v>
      </c>
      <c r="B6" s="19" t="s">
        <v>9</v>
      </c>
      <c r="C6" s="20" t="s">
        <v>10</v>
      </c>
      <c r="D6" s="17"/>
      <c r="E6"/>
      <c r="H6" s="8">
        <f t="shared" si="12"/>
        <v>2007</v>
      </c>
      <c r="I6" s="4">
        <f t="shared" si="0"/>
        <v>6288.1518129947508</v>
      </c>
      <c r="J6" s="4">
        <f t="shared" si="0"/>
        <v>8142.0614035100689</v>
      </c>
      <c r="K6" s="4">
        <f t="shared" si="0"/>
        <v>0</v>
      </c>
      <c r="L6" s="4">
        <f t="shared" si="2"/>
        <v>14430.213216504821</v>
      </c>
      <c r="M6" s="60">
        <f t="shared" si="13"/>
        <v>730.85408999999981</v>
      </c>
      <c r="N6" s="60">
        <f t="shared" si="14"/>
        <v>461.85918187499988</v>
      </c>
      <c r="O6" s="60">
        <f t="shared" si="15"/>
        <v>340.05016687499989</v>
      </c>
      <c r="P6" s="5">
        <f t="shared" si="4"/>
        <v>8356207.2896693014</v>
      </c>
      <c r="Q6" s="5">
        <f t="shared" si="5"/>
        <v>579.07718786245903</v>
      </c>
      <c r="R6" s="60">
        <f t="shared" si="16"/>
        <v>385.74400000000003</v>
      </c>
      <c r="S6" s="42">
        <f t="shared" si="6"/>
        <v>15.266141372605299</v>
      </c>
      <c r="T6" s="42">
        <f t="shared" si="7"/>
        <v>10.177427581736865</v>
      </c>
      <c r="U6" s="6">
        <f t="shared" si="8"/>
        <v>16.793238448011312</v>
      </c>
      <c r="V6" s="6">
        <f t="shared" si="9"/>
        <v>427.98080740235355</v>
      </c>
      <c r="W6" s="42">
        <f t="shared" si="10"/>
        <v>151.09638046010548</v>
      </c>
      <c r="X6" s="42">
        <f t="shared" si="11"/>
        <v>2180352.986281455</v>
      </c>
      <c r="Y6" s="42">
        <f>NPV(B$2,X$4:X6)</f>
        <v>5611411.0770061016</v>
      </c>
    </row>
    <row r="7" spans="1:31" ht="15.75" thickBot="1" x14ac:dyDescent="0.3">
      <c r="A7" s="144"/>
      <c r="B7" s="92">
        <v>0.5</v>
      </c>
      <c r="C7" s="93">
        <v>0.5</v>
      </c>
      <c r="D7" s="94"/>
      <c r="E7"/>
      <c r="H7" s="8">
        <f t="shared" si="12"/>
        <v>2008</v>
      </c>
      <c r="I7" s="4">
        <f t="shared" si="0"/>
        <v>6288.1518129947508</v>
      </c>
      <c r="J7" s="4">
        <f t="shared" si="0"/>
        <v>8142.0614035100689</v>
      </c>
      <c r="K7" s="4">
        <f t="shared" si="0"/>
        <v>0</v>
      </c>
      <c r="L7" s="4">
        <f t="shared" si="2"/>
        <v>14430.213216504821</v>
      </c>
      <c r="M7" s="60">
        <f t="shared" si="13"/>
        <v>734.50836044999971</v>
      </c>
      <c r="N7" s="60">
        <f t="shared" si="14"/>
        <v>464.16847778437483</v>
      </c>
      <c r="O7" s="60">
        <f t="shared" si="15"/>
        <v>341.75041770937486</v>
      </c>
      <c r="P7" s="5">
        <f t="shared" si="4"/>
        <v>8397988.3261176459</v>
      </c>
      <c r="Q7" s="5">
        <f t="shared" si="5"/>
        <v>581.9725738017712</v>
      </c>
      <c r="R7" s="60">
        <f t="shared" si="16"/>
        <v>385.74400000000003</v>
      </c>
      <c r="S7" s="42">
        <f t="shared" si="6"/>
        <v>15.266141372605299</v>
      </c>
      <c r="T7" s="42">
        <f t="shared" si="7"/>
        <v>10.177427581736865</v>
      </c>
      <c r="U7" s="6">
        <f t="shared" si="8"/>
        <v>16.877204640251364</v>
      </c>
      <c r="V7" s="6">
        <f t="shared" si="9"/>
        <v>428.06477359459359</v>
      </c>
      <c r="W7" s="42">
        <f t="shared" si="10"/>
        <v>153.90780020717762</v>
      </c>
      <c r="X7" s="42">
        <f t="shared" si="11"/>
        <v>2220922.3726727976</v>
      </c>
      <c r="Y7" s="42">
        <f>NPV(B$2,X$4:X7)</f>
        <v>7305742.1214474086</v>
      </c>
    </row>
    <row r="8" spans="1:31" ht="15" customHeight="1" x14ac:dyDescent="0.25">
      <c r="A8" s="87" t="s">
        <v>60</v>
      </c>
      <c r="B8" s="95" t="s">
        <v>13</v>
      </c>
      <c r="C8" s="96" t="s">
        <v>14</v>
      </c>
      <c r="D8" s="97" t="s">
        <v>15</v>
      </c>
      <c r="E8"/>
      <c r="H8" s="8">
        <f t="shared" si="12"/>
        <v>2009</v>
      </c>
      <c r="I8" s="4">
        <f t="shared" si="0"/>
        <v>225.27583888620811</v>
      </c>
      <c r="J8" s="4">
        <f t="shared" si="0"/>
        <v>789.76472846323384</v>
      </c>
      <c r="K8" s="4">
        <f t="shared" si="0"/>
        <v>0</v>
      </c>
      <c r="L8" s="4">
        <f t="shared" si="2"/>
        <v>1015.040567349442</v>
      </c>
      <c r="M8" s="60">
        <f t="shared" si="13"/>
        <v>738.18090225224967</v>
      </c>
      <c r="N8" s="60">
        <f t="shared" si="14"/>
        <v>466.48932017329668</v>
      </c>
      <c r="O8" s="60">
        <f t="shared" si="15"/>
        <v>343.45916979792167</v>
      </c>
      <c r="P8" s="5">
        <f t="shared" si="4"/>
        <v>534711.13328231568</v>
      </c>
      <c r="Q8" s="5">
        <f t="shared" si="5"/>
        <v>526.78794373568508</v>
      </c>
      <c r="R8" s="60">
        <f t="shared" si="16"/>
        <v>385.74400000000003</v>
      </c>
      <c r="S8" s="42">
        <f>SUMIFS(F$27:F$37,B$27:B$37,"&lt;="&amp;$H8,C$27:C$37,"&gt;="&amp;H8)/L8/10</f>
        <v>217.02942925251659</v>
      </c>
      <c r="T8" s="42">
        <f t="shared" si="7"/>
        <v>144.68628616834437</v>
      </c>
      <c r="U8" s="6">
        <f t="shared" si="8"/>
        <v>15.276850368334868</v>
      </c>
      <c r="V8" s="6">
        <f t="shared" si="9"/>
        <v>762.73656578919588</v>
      </c>
      <c r="W8" s="42">
        <f t="shared" si="10"/>
        <v>-235.9486220535108</v>
      </c>
      <c r="X8" s="42">
        <f t="shared" si="11"/>
        <v>-239497.42319451467</v>
      </c>
      <c r="Y8" s="42">
        <f>NPV(B$2,X$4:X8)</f>
        <v>7134983.7686877679</v>
      </c>
      <c r="AA8" s="132" t="s">
        <v>62</v>
      </c>
      <c r="AB8" s="132"/>
      <c r="AC8" s="132"/>
      <c r="AD8" s="132"/>
      <c r="AE8" s="132"/>
    </row>
    <row r="9" spans="1:31" x14ac:dyDescent="0.25">
      <c r="A9" s="101" t="s">
        <v>16</v>
      </c>
      <c r="B9" s="98">
        <v>720</v>
      </c>
      <c r="C9" s="99">
        <v>455</v>
      </c>
      <c r="D9" s="100">
        <v>335</v>
      </c>
      <c r="E9"/>
      <c r="H9" s="8">
        <f t="shared" si="12"/>
        <v>2010</v>
      </c>
      <c r="I9" s="4">
        <f t="shared" si="0"/>
        <v>225.27583888620811</v>
      </c>
      <c r="J9" s="4">
        <f t="shared" si="0"/>
        <v>789.76472846323384</v>
      </c>
      <c r="K9" s="4">
        <f t="shared" si="0"/>
        <v>0</v>
      </c>
      <c r="L9" s="4">
        <f t="shared" si="2"/>
        <v>1015.040567349442</v>
      </c>
      <c r="M9" s="60">
        <f t="shared" si="13"/>
        <v>741.87180676351079</v>
      </c>
      <c r="N9" s="60">
        <f t="shared" si="14"/>
        <v>468.82176677416311</v>
      </c>
      <c r="O9" s="60">
        <f t="shared" si="15"/>
        <v>345.17646564691125</v>
      </c>
      <c r="P9" s="5">
        <f t="shared" si="4"/>
        <v>537384.68894872721</v>
      </c>
      <c r="Q9" s="5">
        <f t="shared" si="5"/>
        <v>529.42188345436341</v>
      </c>
      <c r="R9" s="60">
        <f t="shared" si="16"/>
        <v>385.74400000000003</v>
      </c>
      <c r="S9" s="42">
        <f t="shared" si="6"/>
        <v>217.02942925251659</v>
      </c>
      <c r="T9" s="42">
        <f t="shared" si="7"/>
        <v>144.68628616834437</v>
      </c>
      <c r="U9" s="6">
        <f t="shared" si="8"/>
        <v>15.353234620176542</v>
      </c>
      <c r="V9" s="6">
        <f t="shared" si="9"/>
        <v>762.81295004103754</v>
      </c>
      <c r="W9" s="42">
        <f t="shared" si="10"/>
        <v>-233.39106658667413</v>
      </c>
      <c r="X9" s="42">
        <f t="shared" si="11"/>
        <v>-236901.4006424291</v>
      </c>
      <c r="Y9" s="42">
        <f>NPV(B$2,X$4:X9)</f>
        <v>6977126.362558445</v>
      </c>
      <c r="AA9" s="132"/>
      <c r="AB9" s="132"/>
      <c r="AC9" s="132"/>
      <c r="AD9" s="132"/>
      <c r="AE9" s="132"/>
    </row>
    <row r="10" spans="1:31" ht="15.75" thickBot="1" x14ac:dyDescent="0.3">
      <c r="A10" s="88" t="s">
        <v>66</v>
      </c>
      <c r="B10" s="89">
        <f>B9-E17</f>
        <v>385</v>
      </c>
      <c r="C10" s="90">
        <f>C9-E17</f>
        <v>120</v>
      </c>
      <c r="D10" s="91">
        <f>D9-E17</f>
        <v>0</v>
      </c>
      <c r="E10"/>
      <c r="H10" s="8">
        <f t="shared" si="12"/>
        <v>2011</v>
      </c>
      <c r="I10" s="4">
        <f t="shared" si="0"/>
        <v>225.27583888620811</v>
      </c>
      <c r="J10" s="4">
        <f t="shared" si="0"/>
        <v>789.76472846323384</v>
      </c>
      <c r="K10" s="4">
        <f t="shared" si="0"/>
        <v>0</v>
      </c>
      <c r="L10" s="4">
        <f t="shared" si="2"/>
        <v>1015.040567349442</v>
      </c>
      <c r="M10" s="60">
        <f t="shared" si="13"/>
        <v>745.58116579732825</v>
      </c>
      <c r="N10" s="60">
        <f t="shared" si="14"/>
        <v>471.1658756080339</v>
      </c>
      <c r="O10" s="60">
        <f t="shared" si="15"/>
        <v>346.9023479751458</v>
      </c>
      <c r="P10" s="5">
        <f t="shared" si="4"/>
        <v>540071.61239347083</v>
      </c>
      <c r="Q10" s="5">
        <f t="shared" si="5"/>
        <v>532.06899287163526</v>
      </c>
      <c r="R10" s="60">
        <f t="shared" si="16"/>
        <v>385.74400000000003</v>
      </c>
      <c r="S10" s="42">
        <f t="shared" si="6"/>
        <v>217.02942925251659</v>
      </c>
      <c r="T10" s="42">
        <f t="shared" si="7"/>
        <v>144.68628616834437</v>
      </c>
      <c r="U10" s="6">
        <f t="shared" si="8"/>
        <v>15.430000793277422</v>
      </c>
      <c r="V10" s="6">
        <f t="shared" si="9"/>
        <v>762.88971621413839</v>
      </c>
      <c r="W10" s="42">
        <f t="shared" si="10"/>
        <v>-230.82072334250313</v>
      </c>
      <c r="X10" s="42">
        <f t="shared" si="11"/>
        <v>-234292.39797758296</v>
      </c>
      <c r="Y10" s="42">
        <f>NPV(B$2,X$4:X10)</f>
        <v>6831220.8321923837</v>
      </c>
      <c r="AA10" s="132"/>
      <c r="AB10" s="132"/>
      <c r="AC10" s="132"/>
      <c r="AD10" s="132"/>
      <c r="AE10" s="132"/>
    </row>
    <row r="11" spans="1:31" ht="15.75" thickBot="1" x14ac:dyDescent="0.3">
      <c r="B11" s="22"/>
      <c r="C11" s="22"/>
      <c r="H11" s="8">
        <f t="shared" si="12"/>
        <v>2012</v>
      </c>
      <c r="I11" s="4">
        <f t="shared" si="0"/>
        <v>225.27583888620811</v>
      </c>
      <c r="J11" s="4">
        <f t="shared" si="0"/>
        <v>789.76472846323384</v>
      </c>
      <c r="K11" s="4">
        <f t="shared" si="0"/>
        <v>0</v>
      </c>
      <c r="L11" s="4">
        <f t="shared" si="2"/>
        <v>1015.040567349442</v>
      </c>
      <c r="M11" s="60">
        <f t="shared" si="13"/>
        <v>749.30907162631479</v>
      </c>
      <c r="N11" s="60">
        <f t="shared" si="14"/>
        <v>473.52170498607404</v>
      </c>
      <c r="O11" s="60">
        <f t="shared" si="15"/>
        <v>348.6368597150215</v>
      </c>
      <c r="P11" s="5">
        <f t="shared" si="4"/>
        <v>542771.97045543813</v>
      </c>
      <c r="Q11" s="5">
        <f t="shared" si="5"/>
        <v>534.72933783599342</v>
      </c>
      <c r="R11" s="60">
        <f t="shared" si="16"/>
        <v>385.74400000000003</v>
      </c>
      <c r="S11" s="42">
        <f t="shared" si="6"/>
        <v>217.02942925251659</v>
      </c>
      <c r="T11" s="42">
        <f t="shared" si="7"/>
        <v>144.68628616834437</v>
      </c>
      <c r="U11" s="6">
        <f t="shared" si="8"/>
        <v>15.507150797243808</v>
      </c>
      <c r="V11" s="6">
        <f t="shared" si="9"/>
        <v>762.96686621810477</v>
      </c>
      <c r="W11" s="42">
        <f t="shared" si="10"/>
        <v>-228.23752838211135</v>
      </c>
      <c r="X11" s="42">
        <f t="shared" si="11"/>
        <v>-231670.35029941268</v>
      </c>
      <c r="Y11" s="42">
        <f>NPV(B$2,X$4:X11)</f>
        <v>6696386.5790603543</v>
      </c>
      <c r="AA11" s="132"/>
      <c r="AB11" s="132"/>
      <c r="AC11" s="132"/>
      <c r="AD11" s="132"/>
      <c r="AE11" s="132"/>
    </row>
    <row r="12" spans="1:31" ht="15.75" thickBot="1" x14ac:dyDescent="0.3">
      <c r="A12" s="136" t="s">
        <v>12</v>
      </c>
      <c r="B12" s="137"/>
      <c r="C12" s="137"/>
      <c r="D12" s="137"/>
      <c r="E12" s="138"/>
      <c r="H12" s="8">
        <f t="shared" si="12"/>
        <v>2013</v>
      </c>
      <c r="I12" s="4">
        <f t="shared" si="0"/>
        <v>225.27583888620811</v>
      </c>
      <c r="J12" s="4">
        <f t="shared" si="0"/>
        <v>789.76472846323384</v>
      </c>
      <c r="K12" s="4">
        <f t="shared" si="0"/>
        <v>0</v>
      </c>
      <c r="L12" s="4">
        <f t="shared" si="2"/>
        <v>1015.040567349442</v>
      </c>
      <c r="M12" s="60">
        <f t="shared" si="13"/>
        <v>753.05561698444626</v>
      </c>
      <c r="N12" s="60">
        <f t="shared" si="14"/>
        <v>475.88931351100439</v>
      </c>
      <c r="O12" s="60">
        <f t="shared" si="15"/>
        <v>350.38004401359655</v>
      </c>
      <c r="P12" s="5">
        <f t="shared" si="4"/>
        <v>545485.83030771534</v>
      </c>
      <c r="Q12" s="5">
        <f t="shared" si="5"/>
        <v>537.40298452517334</v>
      </c>
      <c r="R12" s="60">
        <f t="shared" si="16"/>
        <v>385.74400000000003</v>
      </c>
      <c r="S12" s="42">
        <f t="shared" si="6"/>
        <v>217.02942925251659</v>
      </c>
      <c r="T12" s="42">
        <f t="shared" si="7"/>
        <v>144.68628616834437</v>
      </c>
      <c r="U12" s="6">
        <f t="shared" si="8"/>
        <v>15.584686551230028</v>
      </c>
      <c r="V12" s="6">
        <f t="shared" si="9"/>
        <v>763.04440197209101</v>
      </c>
      <c r="W12" s="42">
        <f t="shared" si="10"/>
        <v>-225.64141744691767</v>
      </c>
      <c r="X12" s="42">
        <f t="shared" si="11"/>
        <v>-229035.19238285159</v>
      </c>
      <c r="Y12" s="42">
        <f>NPV(B$2,X$4:X12)</f>
        <v>6571806.6096840696</v>
      </c>
      <c r="AA12" s="132"/>
      <c r="AB12" s="132"/>
      <c r="AC12" s="132"/>
      <c r="AD12" s="132"/>
      <c r="AE12" s="132"/>
    </row>
    <row r="13" spans="1:31" ht="45.75" thickBot="1" x14ac:dyDescent="0.3">
      <c r="A13" s="23" t="s">
        <v>4</v>
      </c>
      <c r="B13" s="34" t="s">
        <v>44</v>
      </c>
      <c r="C13" s="35" t="s">
        <v>64</v>
      </c>
      <c r="D13" s="35" t="s">
        <v>5</v>
      </c>
      <c r="E13" s="36" t="s">
        <v>43</v>
      </c>
      <c r="F13" s="44" t="s">
        <v>63</v>
      </c>
      <c r="H13" s="8">
        <f t="shared" si="12"/>
        <v>2014</v>
      </c>
      <c r="I13" s="4">
        <f t="shared" si="0"/>
        <v>2035.0189410301452</v>
      </c>
      <c r="J13" s="4">
        <f t="shared" si="0"/>
        <v>3707.0257272396348</v>
      </c>
      <c r="K13" s="4">
        <f t="shared" si="0"/>
        <v>0</v>
      </c>
      <c r="L13" s="4">
        <f t="shared" si="2"/>
        <v>5742.0446682697802</v>
      </c>
      <c r="M13" s="60">
        <f t="shared" si="13"/>
        <v>756.82089506936836</v>
      </c>
      <c r="N13" s="60">
        <f t="shared" si="14"/>
        <v>478.26876007855935</v>
      </c>
      <c r="O13" s="60">
        <f t="shared" si="15"/>
        <v>352.13194423366451</v>
      </c>
      <c r="P13" s="5">
        <f t="shared" si="4"/>
        <v>3313099.4545797724</v>
      </c>
      <c r="Q13" s="5">
        <f t="shared" si="5"/>
        <v>576.98949520329859</v>
      </c>
      <c r="R13" s="60">
        <f t="shared" si="16"/>
        <v>385.74400000000003</v>
      </c>
      <c r="S13" s="42">
        <f t="shared" si="6"/>
        <v>19.182511433368902</v>
      </c>
      <c r="T13" s="42">
        <f t="shared" si="7"/>
        <v>20.461345528926831</v>
      </c>
      <c r="U13" s="6">
        <f t="shared" si="8"/>
        <v>16.732695360895658</v>
      </c>
      <c r="V13" s="6">
        <f t="shared" si="9"/>
        <v>442.12055232319142</v>
      </c>
      <c r="W13" s="42">
        <f t="shared" si="10"/>
        <v>134.86894288010717</v>
      </c>
      <c r="X13" s="42">
        <f t="shared" si="11"/>
        <v>774423.49437990086</v>
      </c>
      <c r="Y13" s="42">
        <f>NPV(B$2,X$4:X13)</f>
        <v>6965484.2448645858</v>
      </c>
      <c r="AA13" s="132"/>
      <c r="AB13" s="132"/>
      <c r="AC13" s="132"/>
      <c r="AD13" s="132"/>
      <c r="AE13" s="132"/>
    </row>
    <row r="14" spans="1:31" x14ac:dyDescent="0.25">
      <c r="A14" s="24" t="s">
        <v>17</v>
      </c>
      <c r="B14" s="25"/>
      <c r="C14" s="26">
        <v>22455.360000000001</v>
      </c>
      <c r="D14" s="27"/>
      <c r="E14" s="102">
        <f>AssumptionSubstantiations!S14</f>
        <v>30.48</v>
      </c>
      <c r="F14" s="43">
        <v>19581.66</v>
      </c>
      <c r="H14" s="8">
        <f t="shared" si="12"/>
        <v>2015</v>
      </c>
      <c r="I14" s="4">
        <f t="shared" si="0"/>
        <v>2035.0189410301452</v>
      </c>
      <c r="J14" s="4">
        <f t="shared" si="0"/>
        <v>3707.0257272396348</v>
      </c>
      <c r="K14" s="4">
        <f t="shared" si="0"/>
        <v>0</v>
      </c>
      <c r="L14" s="4">
        <f t="shared" si="2"/>
        <v>5742.0446682697802</v>
      </c>
      <c r="M14" s="60">
        <f t="shared" si="13"/>
        <v>760.60499954471516</v>
      </c>
      <c r="N14" s="60">
        <f t="shared" si="14"/>
        <v>480.6601038789521</v>
      </c>
      <c r="O14" s="60">
        <f t="shared" si="15"/>
        <v>353.89260395483279</v>
      </c>
      <c r="P14" s="5">
        <f t="shared" si="4"/>
        <v>3329664.9518526709</v>
      </c>
      <c r="Q14" s="5">
        <f t="shared" si="5"/>
        <v>579.87444267931494</v>
      </c>
      <c r="R14" s="60">
        <f t="shared" si="16"/>
        <v>385.74400000000003</v>
      </c>
      <c r="S14" s="42">
        <f t="shared" si="6"/>
        <v>19.182511433368902</v>
      </c>
      <c r="T14" s="42">
        <f t="shared" si="7"/>
        <v>20.461345528926831</v>
      </c>
      <c r="U14" s="6">
        <f t="shared" si="8"/>
        <v>16.816358837700133</v>
      </c>
      <c r="V14" s="6">
        <f t="shared" si="9"/>
        <v>442.20421579999589</v>
      </c>
      <c r="W14" s="42">
        <f t="shared" si="10"/>
        <v>137.67022687931905</v>
      </c>
      <c r="X14" s="42">
        <f t="shared" si="11"/>
        <v>790508.59223188495</v>
      </c>
      <c r="Y14" s="42">
        <f>NPV(B$2,X$4:X14)</f>
        <v>7341049.1825164463</v>
      </c>
      <c r="AA14" s="132"/>
      <c r="AB14" s="132"/>
      <c r="AC14" s="132"/>
      <c r="AD14" s="132"/>
      <c r="AE14" s="132"/>
    </row>
    <row r="15" spans="1:31" x14ac:dyDescent="0.25">
      <c r="A15" s="28" t="s">
        <v>18</v>
      </c>
      <c r="B15" s="29" t="s">
        <v>3</v>
      </c>
      <c r="C15" s="30" t="s">
        <v>3</v>
      </c>
      <c r="D15" s="30" t="s">
        <v>3</v>
      </c>
      <c r="E15" s="31">
        <f>AssumptionSubstantiations!N15</f>
        <v>3.2639999999999998</v>
      </c>
      <c r="H15" s="8">
        <f t="shared" si="12"/>
        <v>2016</v>
      </c>
      <c r="I15" s="4">
        <f t="shared" si="0"/>
        <v>2035.0189410301452</v>
      </c>
      <c r="J15" s="4">
        <f t="shared" si="0"/>
        <v>3707.0257272396348</v>
      </c>
      <c r="K15" s="4">
        <f t="shared" si="0"/>
        <v>0</v>
      </c>
      <c r="L15" s="4">
        <f t="shared" si="2"/>
        <v>5742.0446682697802</v>
      </c>
      <c r="M15" s="60">
        <f t="shared" si="13"/>
        <v>764.40802454243862</v>
      </c>
      <c r="N15" s="60">
        <f t="shared" si="14"/>
        <v>483.06340439834679</v>
      </c>
      <c r="O15" s="60">
        <f t="shared" si="15"/>
        <v>355.66206697460694</v>
      </c>
      <c r="P15" s="5">
        <f t="shared" si="4"/>
        <v>3346313.276611934</v>
      </c>
      <c r="Q15" s="5">
        <f t="shared" si="5"/>
        <v>582.77381489271147</v>
      </c>
      <c r="R15" s="60">
        <f t="shared" si="16"/>
        <v>385.74400000000003</v>
      </c>
      <c r="S15" s="42">
        <f t="shared" si="6"/>
        <v>19.182511433368902</v>
      </c>
      <c r="T15" s="42">
        <f>SUMIFS($F$41:$F$51,$B$41:$B$51,"&lt;="&amp;$H15,$C$41:$C$51,"&gt;="&amp;$H15)/$L15/10</f>
        <v>20.461345528926831</v>
      </c>
      <c r="U15" s="6">
        <f t="shared" si="8"/>
        <v>16.900440631888632</v>
      </c>
      <c r="V15" s="6">
        <f t="shared" si="9"/>
        <v>442.28829759418437</v>
      </c>
      <c r="W15" s="42">
        <f t="shared" si="10"/>
        <v>140.4855172985271</v>
      </c>
      <c r="X15" s="42">
        <f t="shared" si="11"/>
        <v>806674.1155731295</v>
      </c>
      <c r="Y15" s="42">
        <f>NPV(B$2,X$4:X15)</f>
        <v>7699222.1370408582</v>
      </c>
    </row>
    <row r="16" spans="1:31" x14ac:dyDescent="0.25">
      <c r="A16" s="28" t="s">
        <v>19</v>
      </c>
      <c r="B16" s="29" t="s">
        <v>3</v>
      </c>
      <c r="C16" s="30" t="s">
        <v>3</v>
      </c>
      <c r="D16" s="30" t="s">
        <v>3</v>
      </c>
      <c r="E16" s="31">
        <v>7</v>
      </c>
      <c r="H16" s="8">
        <f t="shared" si="12"/>
        <v>2017</v>
      </c>
      <c r="I16" s="4">
        <f t="shared" si="0"/>
        <v>2035.0189410301452</v>
      </c>
      <c r="J16" s="4">
        <f t="shared" si="0"/>
        <v>3707.0257272396348</v>
      </c>
      <c r="K16" s="4">
        <f t="shared" si="0"/>
        <v>0</v>
      </c>
      <c r="L16" s="4">
        <f>SUM(I16:K16)</f>
        <v>5742.0446682697802</v>
      </c>
      <c r="M16" s="60">
        <f t="shared" si="13"/>
        <v>768.23006466515073</v>
      </c>
      <c r="N16" s="60">
        <f t="shared" si="14"/>
        <v>485.47872142033845</v>
      </c>
      <c r="O16" s="60">
        <f t="shared" si="15"/>
        <v>357.44037730947991</v>
      </c>
      <c r="P16" s="5">
        <f t="shared" si="4"/>
        <v>3363044.8429949936</v>
      </c>
      <c r="Q16" s="5">
        <f t="shared" si="5"/>
        <v>585.68768396717508</v>
      </c>
      <c r="R16" s="60">
        <f t="shared" si="16"/>
        <v>385.74400000000003</v>
      </c>
      <c r="S16" s="42">
        <f t="shared" si="6"/>
        <v>19.182511433368902</v>
      </c>
      <c r="T16" s="42">
        <f t="shared" ref="T16:T79" si="17">SUMIFS($F$41:$F$51,$B$41:$B$51,"&lt;="&amp;$H16,$C$41:$C$51,"&gt;="&amp;$H16)/$L16/10</f>
        <v>20.461345528926831</v>
      </c>
      <c r="U16" s="6">
        <f t="shared" si="8"/>
        <v>16.984942835048077</v>
      </c>
      <c r="V16" s="6">
        <f t="shared" si="9"/>
        <v>442.37279979734382</v>
      </c>
      <c r="W16" s="42">
        <f t="shared" si="10"/>
        <v>143.31488416983126</v>
      </c>
      <c r="X16" s="42">
        <f t="shared" si="11"/>
        <v>822920.46653108066</v>
      </c>
      <c r="Y16" s="42">
        <f>NPV(B$2,X$4:X16)</f>
        <v>8040704.8740911055</v>
      </c>
    </row>
    <row r="17" spans="1:25" x14ac:dyDescent="0.25">
      <c r="A17" s="28" t="s">
        <v>20</v>
      </c>
      <c r="B17" s="29" t="s">
        <v>3</v>
      </c>
      <c r="C17" s="30" t="s">
        <v>3</v>
      </c>
      <c r="D17" s="30" t="s">
        <v>3</v>
      </c>
      <c r="E17" s="122">
        <v>335</v>
      </c>
      <c r="H17" s="8">
        <f t="shared" si="12"/>
        <v>2018</v>
      </c>
      <c r="I17" s="4">
        <f t="shared" si="0"/>
        <v>2035.0189410301452</v>
      </c>
      <c r="J17" s="4">
        <f t="shared" si="0"/>
        <v>3707.0257272396348</v>
      </c>
      <c r="K17" s="4">
        <f t="shared" si="0"/>
        <v>0</v>
      </c>
      <c r="L17" s="4">
        <f t="shared" ref="L17:L80" si="18">SUM(I17:K17)</f>
        <v>5742.0446682697802</v>
      </c>
      <c r="M17" s="60">
        <f t="shared" si="13"/>
        <v>772.07121498847641</v>
      </c>
      <c r="N17" s="60">
        <f t="shared" si="14"/>
        <v>487.90611502744008</v>
      </c>
      <c r="O17" s="60">
        <f t="shared" si="15"/>
        <v>359.22757919602725</v>
      </c>
      <c r="P17" s="5">
        <f t="shared" si="4"/>
        <v>3379860.0672099679</v>
      </c>
      <c r="Q17" s="5">
        <f t="shared" si="5"/>
        <v>588.61612238701082</v>
      </c>
      <c r="R17" s="60">
        <f t="shared" si="16"/>
        <v>385.74400000000003</v>
      </c>
      <c r="S17" s="42">
        <f t="shared" si="6"/>
        <v>19.182511433368902</v>
      </c>
      <c r="T17" s="42">
        <f t="shared" si="17"/>
        <v>20.461345528926831</v>
      </c>
      <c r="U17" s="6">
        <f t="shared" si="8"/>
        <v>17.069867549223314</v>
      </c>
      <c r="V17" s="6">
        <f t="shared" si="9"/>
        <v>442.45772451151907</v>
      </c>
      <c r="W17" s="42">
        <f t="shared" si="10"/>
        <v>146.15839787549174</v>
      </c>
      <c r="X17" s="42">
        <f t="shared" si="11"/>
        <v>839248.0492438206</v>
      </c>
      <c r="Y17" s="42">
        <f>NPV(B$2,X$4:X17)</f>
        <v>8366179.7370780166</v>
      </c>
    </row>
    <row r="18" spans="1:25" x14ac:dyDescent="0.25">
      <c r="A18" s="28" t="s">
        <v>6</v>
      </c>
      <c r="B18" s="32">
        <v>225</v>
      </c>
      <c r="C18" s="30"/>
      <c r="D18" s="30"/>
      <c r="E18" s="31"/>
      <c r="H18" s="8">
        <f t="shared" si="12"/>
        <v>2019</v>
      </c>
      <c r="I18" s="4">
        <f t="shared" si="0"/>
        <v>803.94073509661678</v>
      </c>
      <c r="J18" s="4">
        <f t="shared" si="0"/>
        <v>2247.2451261802507</v>
      </c>
      <c r="K18" s="4">
        <f t="shared" si="0"/>
        <v>0</v>
      </c>
      <c r="L18" s="4">
        <f t="shared" si="18"/>
        <v>3051.1858612768674</v>
      </c>
      <c r="M18" s="60">
        <f t="shared" si="13"/>
        <v>775.93157106341869</v>
      </c>
      <c r="N18" s="60">
        <f t="shared" si="14"/>
        <v>490.34564560257724</v>
      </c>
      <c r="O18" s="60">
        <f t="shared" si="15"/>
        <v>361.02371709200736</v>
      </c>
      <c r="P18" s="5">
        <f t="shared" si="4"/>
        <v>1725729.8598494977</v>
      </c>
      <c r="Q18" s="5">
        <f t="shared" si="5"/>
        <v>565.59316223604617</v>
      </c>
      <c r="R18" s="60">
        <f t="shared" si="16"/>
        <v>385.74400000000003</v>
      </c>
      <c r="S18" s="42">
        <f t="shared" si="6"/>
        <v>36.099681405152253</v>
      </c>
      <c r="T18" s="42">
        <f t="shared" si="17"/>
        <v>38.506326832162408</v>
      </c>
      <c r="U18" s="6">
        <f t="shared" si="8"/>
        <v>16.402201704845343</v>
      </c>
      <c r="V18" s="6">
        <f t="shared" si="9"/>
        <v>476.75220994216005</v>
      </c>
      <c r="W18" s="42">
        <f t="shared" si="10"/>
        <v>88.840952293886119</v>
      </c>
      <c r="X18" s="42">
        <f t="shared" si="11"/>
        <v>271070.25754147803</v>
      </c>
      <c r="Y18" s="42">
        <f>NPV(B$2,X$4:X18)</f>
        <v>8464428.0729673561</v>
      </c>
    </row>
    <row r="19" spans="1:25" x14ac:dyDescent="0.25">
      <c r="A19" s="28" t="s">
        <v>7</v>
      </c>
      <c r="B19" s="32">
        <v>300</v>
      </c>
      <c r="C19" s="30"/>
      <c r="D19" s="30"/>
      <c r="E19" s="31"/>
      <c r="H19" s="8">
        <f t="shared" si="12"/>
        <v>2020</v>
      </c>
      <c r="I19" s="4">
        <f t="shared" si="0"/>
        <v>803.94073509661678</v>
      </c>
      <c r="J19" s="4">
        <f t="shared" si="0"/>
        <v>2247.2451261802507</v>
      </c>
      <c r="K19" s="4">
        <f t="shared" si="0"/>
        <v>0</v>
      </c>
      <c r="L19" s="4">
        <f t="shared" si="18"/>
        <v>3051.1858612768674</v>
      </c>
      <c r="M19" s="60">
        <f t="shared" si="13"/>
        <v>779.81122891873565</v>
      </c>
      <c r="N19" s="60">
        <f t="shared" si="14"/>
        <v>492.79737383059006</v>
      </c>
      <c r="O19" s="60">
        <f t="shared" si="15"/>
        <v>362.82883567746734</v>
      </c>
      <c r="P19" s="5">
        <f t="shared" si="4"/>
        <v>1734358.5091487451</v>
      </c>
      <c r="Q19" s="5">
        <f t="shared" si="5"/>
        <v>568.42112804722638</v>
      </c>
      <c r="R19" s="60">
        <f t="shared" si="16"/>
        <v>385.74400000000003</v>
      </c>
      <c r="S19" s="42">
        <f t="shared" si="6"/>
        <v>36.099681405152253</v>
      </c>
      <c r="T19" s="42">
        <f t="shared" si="17"/>
        <v>38.506326832162408</v>
      </c>
      <c r="U19" s="6">
        <f t="shared" si="8"/>
        <v>16.484212713369569</v>
      </c>
      <c r="V19" s="6">
        <f t="shared" si="9"/>
        <v>476.83422095068426</v>
      </c>
      <c r="W19" s="42">
        <f t="shared" si="10"/>
        <v>91.58690709654212</v>
      </c>
      <c r="X19" s="42">
        <f t="shared" si="11"/>
        <v>279448.67601104733</v>
      </c>
      <c r="Y19" s="42">
        <f>NPV(B$2,X$4:X19)</f>
        <v>8559087.0078407489</v>
      </c>
    </row>
    <row r="20" spans="1:25" x14ac:dyDescent="0.25">
      <c r="A20" s="45" t="s">
        <v>58</v>
      </c>
      <c r="B20" s="46"/>
      <c r="C20" s="47"/>
      <c r="D20" s="47"/>
      <c r="E20" s="123">
        <v>10</v>
      </c>
      <c r="H20" s="8">
        <f t="shared" si="12"/>
        <v>2021</v>
      </c>
      <c r="I20" s="4">
        <f t="shared" si="0"/>
        <v>803.94073509661678</v>
      </c>
      <c r="J20" s="4">
        <f t="shared" si="0"/>
        <v>2247.2451261802507</v>
      </c>
      <c r="K20" s="4">
        <f t="shared" si="0"/>
        <v>0</v>
      </c>
      <c r="L20" s="4">
        <f t="shared" si="18"/>
        <v>3051.1858612768674</v>
      </c>
      <c r="M20" s="60">
        <f t="shared" si="13"/>
        <v>783.71028506332925</v>
      </c>
      <c r="N20" s="60">
        <f t="shared" si="14"/>
        <v>495.26136069974297</v>
      </c>
      <c r="O20" s="60">
        <f t="shared" si="15"/>
        <v>364.64297985585466</v>
      </c>
      <c r="P20" s="5">
        <f t="shared" si="4"/>
        <v>1743030.3016944886</v>
      </c>
      <c r="Q20" s="5">
        <f t="shared" si="5"/>
        <v>571.2632336874625</v>
      </c>
      <c r="R20" s="60">
        <f t="shared" si="16"/>
        <v>385.74400000000003</v>
      </c>
      <c r="S20" s="42">
        <f t="shared" si="6"/>
        <v>36.099681405152253</v>
      </c>
      <c r="T20" s="42">
        <f t="shared" si="17"/>
        <v>38.506326832162408</v>
      </c>
      <c r="U20" s="6">
        <f t="shared" si="8"/>
        <v>16.566633776936413</v>
      </c>
      <c r="V20" s="6">
        <f t="shared" si="9"/>
        <v>476.91664201425112</v>
      </c>
      <c r="W20" s="42">
        <f t="shared" si="10"/>
        <v>94.346591673211378</v>
      </c>
      <c r="X20" s="42">
        <f t="shared" si="11"/>
        <v>287868.98657296441</v>
      </c>
      <c r="Y20" s="42">
        <f>NPV(B$2,X$4:X20)</f>
        <v>8650218.9567986056</v>
      </c>
    </row>
    <row r="21" spans="1:25" x14ac:dyDescent="0.25">
      <c r="A21" s="45" t="s">
        <v>59</v>
      </c>
      <c r="B21" s="46"/>
      <c r="C21" s="47"/>
      <c r="D21" s="47"/>
      <c r="E21" s="48" t="s">
        <v>81</v>
      </c>
      <c r="H21" s="8">
        <f t="shared" si="12"/>
        <v>2022</v>
      </c>
      <c r="I21" s="4">
        <f t="shared" si="0"/>
        <v>803.94073509661678</v>
      </c>
      <c r="J21" s="4">
        <f t="shared" si="0"/>
        <v>2247.2451261802507</v>
      </c>
      <c r="K21" s="4">
        <f t="shared" si="0"/>
        <v>0</v>
      </c>
      <c r="L21" s="4">
        <f t="shared" si="18"/>
        <v>3051.1858612768674</v>
      </c>
      <c r="M21" s="60">
        <f t="shared" si="13"/>
        <v>787.62883648864579</v>
      </c>
      <c r="N21" s="60">
        <f t="shared" si="14"/>
        <v>497.73766750324165</v>
      </c>
      <c r="O21" s="60">
        <f t="shared" si="15"/>
        <v>366.46619475513387</v>
      </c>
      <c r="P21" s="5">
        <f t="shared" si="4"/>
        <v>1751745.4532029608</v>
      </c>
      <c r="Q21" s="5">
        <f t="shared" si="5"/>
        <v>574.11954985589966</v>
      </c>
      <c r="R21" s="60">
        <f t="shared" si="16"/>
        <v>385.74400000000003</v>
      </c>
      <c r="S21" s="42">
        <f t="shared" si="6"/>
        <v>36.099681405152253</v>
      </c>
      <c r="T21" s="42">
        <f t="shared" si="17"/>
        <v>38.506326832162408</v>
      </c>
      <c r="U21" s="6">
        <f t="shared" si="8"/>
        <v>16.649466945821093</v>
      </c>
      <c r="V21" s="6">
        <f t="shared" si="9"/>
        <v>476.99947518313576</v>
      </c>
      <c r="W21" s="42">
        <f t="shared" si="10"/>
        <v>97.120074672763906</v>
      </c>
      <c r="X21" s="42">
        <f t="shared" si="11"/>
        <v>296331.39868769079</v>
      </c>
      <c r="Y21" s="42">
        <f>NPV(B$2,X$4:X21)</f>
        <v>8737892.7249434032</v>
      </c>
    </row>
    <row r="22" spans="1:25" ht="15.75" thickBot="1" x14ac:dyDescent="0.3">
      <c r="A22" s="45"/>
      <c r="B22" s="46"/>
      <c r="C22" s="47"/>
      <c r="D22" s="47"/>
      <c r="E22" s="48"/>
      <c r="F22" s="83"/>
      <c r="H22" s="8">
        <f t="shared" si="12"/>
        <v>2023</v>
      </c>
      <c r="I22" s="4">
        <f t="shared" si="0"/>
        <v>803.94073509661678</v>
      </c>
      <c r="J22" s="4">
        <f t="shared" si="0"/>
        <v>2247.2451261802507</v>
      </c>
      <c r="K22" s="4">
        <f t="shared" si="0"/>
        <v>0</v>
      </c>
      <c r="L22" s="4">
        <f t="shared" si="18"/>
        <v>3051.1858612768674</v>
      </c>
      <c r="M22" s="60">
        <f t="shared" si="13"/>
        <v>791.56698067108891</v>
      </c>
      <c r="N22" s="60">
        <f t="shared" si="14"/>
        <v>500.22635584075783</v>
      </c>
      <c r="O22" s="60">
        <f t="shared" si="15"/>
        <v>368.29852572890951</v>
      </c>
      <c r="P22" s="5">
        <f t="shared" si="4"/>
        <v>1760504.1804689753</v>
      </c>
      <c r="Q22" s="5">
        <f t="shared" si="5"/>
        <v>576.99014760517912</v>
      </c>
      <c r="R22" s="60">
        <f t="shared" si="16"/>
        <v>385.74400000000003</v>
      </c>
      <c r="S22" s="42">
        <f t="shared" si="6"/>
        <v>36.099681405152253</v>
      </c>
      <c r="T22" s="42">
        <f t="shared" si="17"/>
        <v>38.506326832162408</v>
      </c>
      <c r="U22" s="6">
        <f t="shared" si="8"/>
        <v>16.732714280550194</v>
      </c>
      <c r="V22" s="6">
        <f t="shared" si="9"/>
        <v>477.08272251786485</v>
      </c>
      <c r="W22" s="42">
        <f t="shared" si="10"/>
        <v>99.907425087314266</v>
      </c>
      <c r="X22" s="42">
        <f t="shared" si="11"/>
        <v>304836.12286299106</v>
      </c>
      <c r="Y22" s="42">
        <f>NPV(B$2,X$4:X22)</f>
        <v>8822182.4531177357</v>
      </c>
    </row>
    <row r="23" spans="1:25" ht="15.75" thickBot="1" x14ac:dyDescent="0.3">
      <c r="A23" s="49" t="s">
        <v>21</v>
      </c>
      <c r="B23" s="50" t="s">
        <v>3</v>
      </c>
      <c r="C23" s="51" t="s">
        <v>3</v>
      </c>
      <c r="D23" s="51" t="s">
        <v>3</v>
      </c>
      <c r="E23" s="52">
        <f>SUM(E14:E22)</f>
        <v>385.74400000000003</v>
      </c>
      <c r="H23" s="8">
        <f t="shared" si="12"/>
        <v>2024</v>
      </c>
      <c r="I23" s="4">
        <f t="shared" ref="I23:K42" si="19">SUMIFS($E$54:$E$122,$D$54:$D$122,I$2,$B$54:$B$122,"&lt;="&amp;$H23,$C$54:$C$122,"&gt;="&amp;$H23)/1000/5</f>
        <v>1927.5851236665289</v>
      </c>
      <c r="J23" s="4">
        <f t="shared" si="19"/>
        <v>4138.3300966871484</v>
      </c>
      <c r="K23" s="4">
        <f t="shared" si="19"/>
        <v>0</v>
      </c>
      <c r="L23" s="4">
        <f t="shared" si="18"/>
        <v>6065.9152203536778</v>
      </c>
      <c r="M23" s="60">
        <f t="shared" si="13"/>
        <v>795.52481557444423</v>
      </c>
      <c r="N23" s="60">
        <f t="shared" si="14"/>
        <v>502.72748761996155</v>
      </c>
      <c r="O23" s="60">
        <f t="shared" si="15"/>
        <v>370.14001835755403</v>
      </c>
      <c r="P23" s="5">
        <f t="shared" si="4"/>
        <v>3613894.0924584605</v>
      </c>
      <c r="Q23" s="5">
        <f t="shared" si="5"/>
        <v>595.77062342255249</v>
      </c>
      <c r="R23" s="60">
        <f t="shared" si="16"/>
        <v>385.74400000000003</v>
      </c>
      <c r="S23" s="42">
        <f t="shared" si="6"/>
        <v>14.526657033439752</v>
      </c>
      <c r="T23" s="42">
        <f t="shared" si="17"/>
        <v>14.526657033439752</v>
      </c>
      <c r="U23" s="6">
        <f t="shared" si="8"/>
        <v>17.277348079254025</v>
      </c>
      <c r="V23" s="6">
        <f t="shared" si="9"/>
        <v>432.07466214613351</v>
      </c>
      <c r="W23" s="42">
        <f t="shared" si="10"/>
        <v>163.69596127641898</v>
      </c>
      <c r="X23" s="42">
        <f t="shared" si="11"/>
        <v>992965.82301705622</v>
      </c>
      <c r="Y23" s="42">
        <f>NPV(B$2,X$4:X23)</f>
        <v>9078783.6909300555</v>
      </c>
    </row>
    <row r="24" spans="1:25" ht="15.75" thickBot="1" x14ac:dyDescent="0.3">
      <c r="A24" s="8"/>
      <c r="B24" s="11"/>
      <c r="C24" s="11"/>
      <c r="D24" s="11"/>
      <c r="E24" s="2"/>
      <c r="H24" s="8">
        <f t="shared" si="12"/>
        <v>2025</v>
      </c>
      <c r="I24" s="4">
        <f t="shared" si="19"/>
        <v>1927.5851236665289</v>
      </c>
      <c r="J24" s="4">
        <f t="shared" si="19"/>
        <v>4138.3300966871484</v>
      </c>
      <c r="K24" s="4">
        <f t="shared" si="19"/>
        <v>0</v>
      </c>
      <c r="L24" s="4">
        <f t="shared" si="18"/>
        <v>6065.9152203536778</v>
      </c>
      <c r="M24" s="60">
        <f t="shared" si="13"/>
        <v>799.50243965231641</v>
      </c>
      <c r="N24" s="60">
        <f t="shared" si="14"/>
        <v>505.2411250580613</v>
      </c>
      <c r="O24" s="60">
        <f t="shared" si="15"/>
        <v>371.99071844934178</v>
      </c>
      <c r="P24" s="5">
        <f t="shared" si="4"/>
        <v>3631963.5629207524</v>
      </c>
      <c r="Q24" s="5">
        <f t="shared" si="5"/>
        <v>598.74947653966524</v>
      </c>
      <c r="R24" s="60">
        <f t="shared" si="16"/>
        <v>385.74400000000003</v>
      </c>
      <c r="S24" s="42">
        <f t="shared" si="6"/>
        <v>14.526657033439752</v>
      </c>
      <c r="T24" s="42">
        <f t="shared" si="17"/>
        <v>14.526657033439752</v>
      </c>
      <c r="U24" s="6">
        <f t="shared" si="8"/>
        <v>17.363734819650293</v>
      </c>
      <c r="V24" s="6">
        <f t="shared" si="9"/>
        <v>432.16104888652978</v>
      </c>
      <c r="W24" s="42">
        <f t="shared" si="10"/>
        <v>166.58842765313545</v>
      </c>
      <c r="X24" s="42">
        <f t="shared" si="11"/>
        <v>1010511.2788359418</v>
      </c>
      <c r="Y24" s="42">
        <f>NPV(B$2,X$4:X24)</f>
        <v>9322835.389069261</v>
      </c>
    </row>
    <row r="25" spans="1:25" ht="15.75" thickBot="1" x14ac:dyDescent="0.3">
      <c r="A25" s="133" t="s">
        <v>39</v>
      </c>
      <c r="B25" s="134"/>
      <c r="C25" s="134"/>
      <c r="D25" s="134"/>
      <c r="E25" s="134"/>
      <c r="F25" s="135"/>
      <c r="H25" s="8">
        <f t="shared" si="12"/>
        <v>2026</v>
      </c>
      <c r="I25" s="4">
        <f t="shared" si="19"/>
        <v>1927.5851236665289</v>
      </c>
      <c r="J25" s="4">
        <f t="shared" si="19"/>
        <v>4138.3300966871484</v>
      </c>
      <c r="K25" s="4">
        <f t="shared" si="19"/>
        <v>0</v>
      </c>
      <c r="L25" s="4">
        <f t="shared" si="18"/>
        <v>6065.9152203536778</v>
      </c>
      <c r="M25" s="60">
        <f t="shared" ref="M25:M88" si="20">M24*(1+$B$4)</f>
        <v>803.49995185057787</v>
      </c>
      <c r="N25" s="60">
        <f t="shared" ref="N25:N88" si="21">N24*(1+$B$4)</f>
        <v>507.76733068335153</v>
      </c>
      <c r="O25" s="60">
        <f t="shared" ref="O25:O88" si="22">O24*(1+$B$4)</f>
        <v>373.85067204158844</v>
      </c>
      <c r="P25" s="5">
        <f t="shared" si="4"/>
        <v>3650123.3807353554</v>
      </c>
      <c r="Q25" s="5">
        <f t="shared" si="5"/>
        <v>601.74322392236343</v>
      </c>
      <c r="R25" s="60">
        <f t="shared" si="16"/>
        <v>385.74400000000003</v>
      </c>
      <c r="S25" s="42">
        <f t="shared" si="6"/>
        <v>14.526657033439752</v>
      </c>
      <c r="T25" s="42">
        <f t="shared" si="17"/>
        <v>14.526657033439752</v>
      </c>
      <c r="U25" s="6">
        <f t="shared" si="8"/>
        <v>17.45055349374854</v>
      </c>
      <c r="V25" s="6">
        <f t="shared" si="9"/>
        <v>432.24786756062804</v>
      </c>
      <c r="W25" s="42">
        <f t="shared" si="10"/>
        <v>169.49535636173539</v>
      </c>
      <c r="X25" s="42">
        <f t="shared" si="11"/>
        <v>1028144.4619339213</v>
      </c>
      <c r="Y25" s="42">
        <f>NPV(B$2,X$4:X25)</f>
        <v>9554901.1298340131</v>
      </c>
    </row>
    <row r="26" spans="1:25" ht="15.75" thickBot="1" x14ac:dyDescent="0.3">
      <c r="A26" s="61" t="s">
        <v>40</v>
      </c>
      <c r="B26" s="66" t="s">
        <v>24</v>
      </c>
      <c r="C26" s="67" t="s">
        <v>25</v>
      </c>
      <c r="D26" s="68" t="s">
        <v>41</v>
      </c>
      <c r="E26" s="69" t="s">
        <v>42</v>
      </c>
      <c r="F26" s="70" t="s">
        <v>45</v>
      </c>
      <c r="H26" s="8">
        <f t="shared" si="12"/>
        <v>2027</v>
      </c>
      <c r="I26" s="4">
        <f t="shared" si="19"/>
        <v>1927.5851236665289</v>
      </c>
      <c r="J26" s="4">
        <f t="shared" si="19"/>
        <v>4138.3300966871484</v>
      </c>
      <c r="K26" s="4">
        <f t="shared" si="19"/>
        <v>0</v>
      </c>
      <c r="L26" s="4">
        <f t="shared" si="18"/>
        <v>6065.9152203536778</v>
      </c>
      <c r="M26" s="60">
        <f t="shared" si="20"/>
        <v>807.51745160983069</v>
      </c>
      <c r="N26" s="60">
        <f t="shared" si="21"/>
        <v>510.30616733676823</v>
      </c>
      <c r="O26" s="60">
        <f t="shared" si="22"/>
        <v>375.71992540179633</v>
      </c>
      <c r="P26" s="5">
        <f t="shared" si="4"/>
        <v>3668373.9976390321</v>
      </c>
      <c r="Q26" s="5">
        <f t="shared" si="5"/>
        <v>604.75194004197522</v>
      </c>
      <c r="R26" s="60">
        <f t="shared" si="16"/>
        <v>385.74400000000003</v>
      </c>
      <c r="S26" s="42">
        <f t="shared" si="6"/>
        <v>14.526657033439752</v>
      </c>
      <c r="T26" s="42">
        <f t="shared" si="17"/>
        <v>14.526657033439752</v>
      </c>
      <c r="U26" s="6">
        <f t="shared" si="8"/>
        <v>17.53780626121728</v>
      </c>
      <c r="V26" s="6">
        <f t="shared" si="9"/>
        <v>432.33512032809676</v>
      </c>
      <c r="W26" s="42">
        <f t="shared" si="10"/>
        <v>172.41681971387845</v>
      </c>
      <c r="X26" s="42">
        <f t="shared" si="11"/>
        <v>1045865.8109473913</v>
      </c>
      <c r="Y26" s="42">
        <f>NPV(B$2,X$4:X26)</f>
        <v>9775523.2630506773</v>
      </c>
    </row>
    <row r="27" spans="1:25" x14ac:dyDescent="0.25">
      <c r="A27" s="63">
        <v>1</v>
      </c>
      <c r="B27" s="73">
        <v>2004</v>
      </c>
      <c r="C27" s="74">
        <v>2013</v>
      </c>
      <c r="D27" s="75">
        <v>0.5</v>
      </c>
      <c r="E27" s="80">
        <f>D27*F$14</f>
        <v>9790.83</v>
      </c>
      <c r="F27" s="39">
        <f>E27*B$18</f>
        <v>2202936.75</v>
      </c>
      <c r="H27" s="8">
        <f t="shared" si="12"/>
        <v>2028</v>
      </c>
      <c r="I27" s="4">
        <f t="shared" si="19"/>
        <v>1927.5851236665289</v>
      </c>
      <c r="J27" s="4">
        <f t="shared" si="19"/>
        <v>4138.3300966871484</v>
      </c>
      <c r="K27" s="4">
        <f t="shared" si="19"/>
        <v>0</v>
      </c>
      <c r="L27" s="4">
        <f t="shared" si="18"/>
        <v>6065.9152203536778</v>
      </c>
      <c r="M27" s="60">
        <f t="shared" si="20"/>
        <v>811.55503886787972</v>
      </c>
      <c r="N27" s="60">
        <f t="shared" si="21"/>
        <v>512.85769817345204</v>
      </c>
      <c r="O27" s="60">
        <f t="shared" si="22"/>
        <v>377.59852502880528</v>
      </c>
      <c r="P27" s="5">
        <f t="shared" si="4"/>
        <v>3686715.8676272267</v>
      </c>
      <c r="Q27" s="5">
        <f t="shared" si="5"/>
        <v>607.775699742185</v>
      </c>
      <c r="R27" s="60">
        <f t="shared" si="16"/>
        <v>385.74400000000003</v>
      </c>
      <c r="S27" s="42">
        <f t="shared" si="6"/>
        <v>14.526657033439752</v>
      </c>
      <c r="T27" s="42">
        <f t="shared" si="17"/>
        <v>14.526657033439752</v>
      </c>
      <c r="U27" s="6">
        <f t="shared" si="8"/>
        <v>17.625495292523365</v>
      </c>
      <c r="V27" s="6">
        <f t="shared" si="9"/>
        <v>432.42280935940283</v>
      </c>
      <c r="W27" s="42">
        <f t="shared" si="10"/>
        <v>175.35289038278216</v>
      </c>
      <c r="X27" s="42">
        <f t="shared" si="11"/>
        <v>1063675.7667059284</v>
      </c>
      <c r="Y27" s="42">
        <f>NPV(B$2,X$4:X27)</f>
        <v>9985223.3451781962</v>
      </c>
    </row>
    <row r="28" spans="1:25" x14ac:dyDescent="0.25">
      <c r="A28" s="64">
        <v>2</v>
      </c>
      <c r="B28" s="29">
        <f>B27+10</f>
        <v>2014</v>
      </c>
      <c r="C28" s="30">
        <f>C27+10</f>
        <v>2023</v>
      </c>
      <c r="D28" s="37">
        <v>0.25</v>
      </c>
      <c r="E28" s="81">
        <f t="shared" ref="E28:E36" si="23">D28*F$14</f>
        <v>4895.415</v>
      </c>
      <c r="F28" s="40">
        <f>E28*B$18</f>
        <v>1101468.375</v>
      </c>
      <c r="H28" s="8">
        <f t="shared" si="12"/>
        <v>2029</v>
      </c>
      <c r="I28" s="4">
        <f t="shared" si="19"/>
        <v>568.80193285087694</v>
      </c>
      <c r="J28" s="4">
        <f t="shared" si="19"/>
        <v>1462.8610103615997</v>
      </c>
      <c r="K28" s="4">
        <f t="shared" si="19"/>
        <v>0</v>
      </c>
      <c r="L28" s="4">
        <f t="shared" si="18"/>
        <v>2031.6629432124766</v>
      </c>
      <c r="M28" s="60">
        <f t="shared" si="20"/>
        <v>815.61281406221906</v>
      </c>
      <c r="N28" s="60">
        <f t="shared" si="21"/>
        <v>515.42198666431921</v>
      </c>
      <c r="O28" s="60">
        <f t="shared" si="22"/>
        <v>379.48651765394925</v>
      </c>
      <c r="P28" s="5">
        <f t="shared" si="4"/>
        <v>1217912.8732708821</v>
      </c>
      <c r="Q28" s="5">
        <f t="shared" si="5"/>
        <v>599.46600755788336</v>
      </c>
      <c r="R28" s="60">
        <f t="shared" si="16"/>
        <v>385.74400000000003</v>
      </c>
      <c r="S28" s="42">
        <f t="shared" si="6"/>
        <v>43.372090973253748</v>
      </c>
      <c r="T28" s="42">
        <f t="shared" si="17"/>
        <v>43.372090973253748</v>
      </c>
      <c r="U28" s="6">
        <f t="shared" si="8"/>
        <v>17.384514219178616</v>
      </c>
      <c r="V28" s="6">
        <f t="shared" si="9"/>
        <v>489.87269616568619</v>
      </c>
      <c r="W28" s="42">
        <f t="shared" si="10"/>
        <v>109.59331139219717</v>
      </c>
      <c r="X28" s="42">
        <f t="shared" si="11"/>
        <v>222656.66957947274</v>
      </c>
      <c r="Y28" s="42">
        <f>NPV(B$2,X$4:X28)</f>
        <v>10026247.653418055</v>
      </c>
    </row>
    <row r="29" spans="1:25" x14ac:dyDescent="0.25">
      <c r="A29" s="64">
        <v>3</v>
      </c>
      <c r="B29" s="29">
        <f t="shared" ref="B29:B37" si="24">B28+10</f>
        <v>2024</v>
      </c>
      <c r="C29" s="30">
        <f t="shared" ref="C29:C36" si="25">C28+10</f>
        <v>2033</v>
      </c>
      <c r="D29" s="37">
        <v>0.2</v>
      </c>
      <c r="E29" s="81">
        <f t="shared" si="23"/>
        <v>3916.3320000000003</v>
      </c>
      <c r="F29" s="40">
        <f t="shared" ref="F29:F36" si="26">E29*B$18</f>
        <v>881174.70000000007</v>
      </c>
      <c r="H29" s="8">
        <f t="shared" si="12"/>
        <v>2030</v>
      </c>
      <c r="I29" s="4">
        <f t="shared" si="19"/>
        <v>568.80193285087694</v>
      </c>
      <c r="J29" s="4">
        <f t="shared" si="19"/>
        <v>1462.8610103615997</v>
      </c>
      <c r="K29" s="4">
        <f t="shared" si="19"/>
        <v>0</v>
      </c>
      <c r="L29" s="4">
        <f t="shared" si="18"/>
        <v>2031.6629432124766</v>
      </c>
      <c r="M29" s="60">
        <f t="shared" si="20"/>
        <v>819.69087813253009</v>
      </c>
      <c r="N29" s="60">
        <f t="shared" si="21"/>
        <v>517.9990965976408</v>
      </c>
      <c r="O29" s="60">
        <f t="shared" si="22"/>
        <v>381.38395024221893</v>
      </c>
      <c r="P29" s="5">
        <f t="shared" si="4"/>
        <v>1224002.4376372364</v>
      </c>
      <c r="Q29" s="5">
        <f t="shared" si="5"/>
        <v>602.46333759567278</v>
      </c>
      <c r="R29" s="60">
        <f t="shared" si="16"/>
        <v>385.74400000000003</v>
      </c>
      <c r="S29" s="42">
        <f t="shared" si="6"/>
        <v>43.372090973253748</v>
      </c>
      <c r="T29" s="42">
        <f t="shared" si="17"/>
        <v>43.372090973253748</v>
      </c>
      <c r="U29" s="6">
        <f t="shared" si="8"/>
        <v>17.47143679027451</v>
      </c>
      <c r="V29" s="6">
        <f t="shared" si="9"/>
        <v>489.95961873678209</v>
      </c>
      <c r="W29" s="42">
        <f t="shared" si="10"/>
        <v>112.50371885889069</v>
      </c>
      <c r="X29" s="42">
        <f t="shared" si="11"/>
        <v>228569.63657920287</v>
      </c>
      <c r="Y29" s="42">
        <f>NPV(B$2,X$4:X29)</f>
        <v>10065606.314676257</v>
      </c>
    </row>
    <row r="30" spans="1:25" x14ac:dyDescent="0.25">
      <c r="A30" s="64">
        <v>4</v>
      </c>
      <c r="B30" s="29">
        <f t="shared" si="24"/>
        <v>2034</v>
      </c>
      <c r="C30" s="30">
        <f t="shared" si="25"/>
        <v>2043</v>
      </c>
      <c r="D30" s="37">
        <v>0.2</v>
      </c>
      <c r="E30" s="81">
        <f>D30*F$14</f>
        <v>3916.3320000000003</v>
      </c>
      <c r="F30" s="40">
        <f t="shared" si="26"/>
        <v>881174.70000000007</v>
      </c>
      <c r="H30" s="8">
        <f t="shared" si="12"/>
        <v>2031</v>
      </c>
      <c r="I30" s="4">
        <f t="shared" si="19"/>
        <v>568.80193285087694</v>
      </c>
      <c r="J30" s="4">
        <f t="shared" si="19"/>
        <v>1462.8610103615997</v>
      </c>
      <c r="K30" s="4">
        <f t="shared" si="19"/>
        <v>0</v>
      </c>
      <c r="L30" s="4">
        <f t="shared" si="18"/>
        <v>2031.6629432124766</v>
      </c>
      <c r="M30" s="60">
        <f t="shared" si="20"/>
        <v>823.78933252319268</v>
      </c>
      <c r="N30" s="60">
        <f t="shared" si="21"/>
        <v>520.58909208062892</v>
      </c>
      <c r="O30" s="60">
        <f t="shared" si="22"/>
        <v>383.29086999342996</v>
      </c>
      <c r="P30" s="5">
        <f t="shared" si="4"/>
        <v>1230122.4498254224</v>
      </c>
      <c r="Q30" s="5">
        <f t="shared" si="5"/>
        <v>605.47565428365101</v>
      </c>
      <c r="R30" s="60">
        <f t="shared" si="16"/>
        <v>385.74400000000003</v>
      </c>
      <c r="S30" s="42">
        <f t="shared" si="6"/>
        <v>43.372090973253748</v>
      </c>
      <c r="T30" s="42">
        <f t="shared" si="17"/>
        <v>43.372090973253748</v>
      </c>
      <c r="U30" s="6">
        <f t="shared" si="8"/>
        <v>17.558793974225882</v>
      </c>
      <c r="V30" s="6">
        <f t="shared" si="9"/>
        <v>490.04697592073342</v>
      </c>
      <c r="W30" s="42">
        <f t="shared" si="10"/>
        <v>115.42867836291759</v>
      </c>
      <c r="X30" s="42">
        <f t="shared" si="11"/>
        <v>234512.16841393147</v>
      </c>
      <c r="Y30" s="42">
        <f>NPV(B$2,X$4:X30)</f>
        <v>10103346.444075527</v>
      </c>
    </row>
    <row r="31" spans="1:25" x14ac:dyDescent="0.25">
      <c r="A31" s="64">
        <v>5</v>
      </c>
      <c r="B31" s="29">
        <f t="shared" si="24"/>
        <v>2044</v>
      </c>
      <c r="C31" s="30">
        <f t="shared" si="25"/>
        <v>2053</v>
      </c>
      <c r="D31" s="37">
        <v>0.2</v>
      </c>
      <c r="E31" s="81">
        <f t="shared" si="23"/>
        <v>3916.3320000000003</v>
      </c>
      <c r="F31" s="40">
        <f t="shared" si="26"/>
        <v>881174.70000000007</v>
      </c>
      <c r="H31" s="8">
        <f>H30+1</f>
        <v>2032</v>
      </c>
      <c r="I31" s="4">
        <f t="shared" si="19"/>
        <v>568.80193285087694</v>
      </c>
      <c r="J31" s="4">
        <f t="shared" si="19"/>
        <v>1462.8610103615997</v>
      </c>
      <c r="K31" s="4">
        <f t="shared" si="19"/>
        <v>0</v>
      </c>
      <c r="L31" s="4">
        <f t="shared" si="18"/>
        <v>2031.6629432124766</v>
      </c>
      <c r="M31" s="60">
        <f>M30*(1+$B$4)</f>
        <v>827.90827918580851</v>
      </c>
      <c r="N31" s="60">
        <f>N30*(1+$B$4)</f>
        <v>523.19203754103205</v>
      </c>
      <c r="O31" s="60">
        <f>O30*(1+$B$4)</f>
        <v>385.20732434339709</v>
      </c>
      <c r="P31" s="5">
        <f t="shared" si="4"/>
        <v>1236273.0620745495</v>
      </c>
      <c r="Q31" s="5">
        <f t="shared" si="5"/>
        <v>608.50303255506924</v>
      </c>
      <c r="R31" s="60">
        <f>R30</f>
        <v>385.74400000000003</v>
      </c>
      <c r="S31" s="42">
        <f t="shared" si="6"/>
        <v>43.372090973253748</v>
      </c>
      <c r="T31" s="42">
        <f t="shared" si="17"/>
        <v>43.372090973253748</v>
      </c>
      <c r="U31" s="6">
        <f t="shared" si="8"/>
        <v>17.646587944097011</v>
      </c>
      <c r="V31" s="6">
        <f t="shared" si="9"/>
        <v>490.13476989060456</v>
      </c>
      <c r="W31" s="42">
        <f t="shared" si="10"/>
        <v>118.36826266446468</v>
      </c>
      <c r="X31" s="42">
        <f t="shared" si="11"/>
        <v>240484.41290783382</v>
      </c>
      <c r="Y31" s="42">
        <f>NPV(B$2,X$4:X31)</f>
        <v>10139515.831831863</v>
      </c>
    </row>
    <row r="32" spans="1:25" x14ac:dyDescent="0.25">
      <c r="A32" s="64">
        <v>6</v>
      </c>
      <c r="B32" s="29">
        <f t="shared" si="24"/>
        <v>2054</v>
      </c>
      <c r="C32" s="30">
        <f t="shared" si="25"/>
        <v>2063</v>
      </c>
      <c r="D32" s="37">
        <v>0.2</v>
      </c>
      <c r="E32" s="81">
        <f t="shared" si="23"/>
        <v>3916.3320000000003</v>
      </c>
      <c r="F32" s="40">
        <f t="shared" si="26"/>
        <v>881174.70000000007</v>
      </c>
      <c r="H32" s="8">
        <f t="shared" si="12"/>
        <v>2033</v>
      </c>
      <c r="I32" s="4">
        <f t="shared" si="19"/>
        <v>568.80193285087694</v>
      </c>
      <c r="J32" s="4">
        <f t="shared" si="19"/>
        <v>1462.8610103615997</v>
      </c>
      <c r="K32" s="4">
        <f t="shared" si="19"/>
        <v>0</v>
      </c>
      <c r="L32" s="4">
        <f t="shared" si="18"/>
        <v>2031.6629432124766</v>
      </c>
      <c r="M32" s="60">
        <f t="shared" si="20"/>
        <v>832.04782058173748</v>
      </c>
      <c r="N32" s="60">
        <f t="shared" si="21"/>
        <v>525.80799772873718</v>
      </c>
      <c r="O32" s="60">
        <f t="shared" si="22"/>
        <v>387.13336096511404</v>
      </c>
      <c r="P32" s="5">
        <f t="shared" si="4"/>
        <v>1242454.427384922</v>
      </c>
      <c r="Q32" s="5">
        <f t="shared" si="5"/>
        <v>611.54554771784456</v>
      </c>
      <c r="R32" s="60">
        <f t="shared" si="16"/>
        <v>385.74400000000003</v>
      </c>
      <c r="S32" s="42">
        <f t="shared" si="6"/>
        <v>43.372090973253748</v>
      </c>
      <c r="T32" s="42">
        <f t="shared" si="17"/>
        <v>43.372090973253748</v>
      </c>
      <c r="U32" s="6">
        <f t="shared" si="8"/>
        <v>17.734820883817491</v>
      </c>
      <c r="V32" s="6">
        <f t="shared" si="9"/>
        <v>490.22300283032507</v>
      </c>
      <c r="W32" s="42">
        <f t="shared" si="10"/>
        <v>121.32254488751948</v>
      </c>
      <c r="X32" s="42">
        <f t="shared" si="11"/>
        <v>246486.51862420564</v>
      </c>
      <c r="Y32" s="42">
        <f>NPV(B$2,X$4:X32)</f>
        <v>10174162.670836836</v>
      </c>
    </row>
    <row r="33" spans="1:25" x14ac:dyDescent="0.25">
      <c r="A33" s="64">
        <v>7</v>
      </c>
      <c r="B33" s="29">
        <f t="shared" si="24"/>
        <v>2064</v>
      </c>
      <c r="C33" s="30">
        <f t="shared" si="25"/>
        <v>2073</v>
      </c>
      <c r="D33" s="37">
        <v>0.2</v>
      </c>
      <c r="E33" s="81">
        <f t="shared" si="23"/>
        <v>3916.3320000000003</v>
      </c>
      <c r="F33" s="40">
        <f t="shared" si="26"/>
        <v>881174.70000000007</v>
      </c>
      <c r="H33" s="8">
        <f t="shared" si="12"/>
        <v>2034</v>
      </c>
      <c r="I33" s="4">
        <f t="shared" si="19"/>
        <v>2593.2723228716659</v>
      </c>
      <c r="J33" s="4">
        <f t="shared" si="19"/>
        <v>6749.6165672013331</v>
      </c>
      <c r="K33" s="4">
        <f t="shared" si="19"/>
        <v>0</v>
      </c>
      <c r="L33" s="4">
        <f t="shared" si="18"/>
        <v>9342.888890072998</v>
      </c>
      <c r="M33" s="60">
        <f t="shared" si="20"/>
        <v>836.20805968464606</v>
      </c>
      <c r="N33" s="60">
        <f t="shared" si="21"/>
        <v>528.4370377173808</v>
      </c>
      <c r="O33" s="60">
        <f t="shared" si="22"/>
        <v>389.06902776993957</v>
      </c>
      <c r="P33" s="5">
        <f t="shared" si="4"/>
        <v>5735262.6018424397</v>
      </c>
      <c r="Q33" s="5">
        <f t="shared" si="5"/>
        <v>613.86394179815932</v>
      </c>
      <c r="R33" s="60">
        <f t="shared" si="16"/>
        <v>385.74400000000003</v>
      </c>
      <c r="S33" s="42">
        <f t="shared" si="6"/>
        <v>9.4315014378075865</v>
      </c>
      <c r="T33" s="42">
        <f t="shared" si="17"/>
        <v>9.4315014378075865</v>
      </c>
      <c r="U33" s="6">
        <f t="shared" si="8"/>
        <v>17.80205431214662</v>
      </c>
      <c r="V33" s="6">
        <f t="shared" si="9"/>
        <v>422.40905718776179</v>
      </c>
      <c r="W33" s="42">
        <f t="shared" si="10"/>
        <v>191.45488461039753</v>
      </c>
      <c r="X33" s="42">
        <f t="shared" si="11"/>
        <v>1788741.7143766908</v>
      </c>
      <c r="Y33" s="42">
        <f>NPV(B$2,X$4:X33)</f>
        <v>10409144.51318866</v>
      </c>
    </row>
    <row r="34" spans="1:25" x14ac:dyDescent="0.25">
      <c r="A34" s="64">
        <v>8</v>
      </c>
      <c r="B34" s="29">
        <f t="shared" si="24"/>
        <v>2074</v>
      </c>
      <c r="C34" s="30">
        <f t="shared" si="25"/>
        <v>2083</v>
      </c>
      <c r="D34" s="37">
        <v>0.15</v>
      </c>
      <c r="E34" s="81">
        <f t="shared" si="23"/>
        <v>2937.2489999999998</v>
      </c>
      <c r="F34" s="40">
        <f t="shared" si="26"/>
        <v>660881.02499999991</v>
      </c>
      <c r="H34" s="8">
        <f t="shared" si="12"/>
        <v>2035</v>
      </c>
      <c r="I34" s="4">
        <f t="shared" si="19"/>
        <v>2593.2723228716659</v>
      </c>
      <c r="J34" s="4">
        <f t="shared" si="19"/>
        <v>6749.6165672013331</v>
      </c>
      <c r="K34" s="4">
        <f t="shared" si="19"/>
        <v>0</v>
      </c>
      <c r="L34" s="4">
        <f t="shared" si="18"/>
        <v>9342.888890072998</v>
      </c>
      <c r="M34" s="60">
        <f t="shared" si="20"/>
        <v>840.38909998306917</v>
      </c>
      <c r="N34" s="60">
        <f t="shared" si="21"/>
        <v>531.07922290596764</v>
      </c>
      <c r="O34" s="60">
        <f t="shared" si="22"/>
        <v>391.0143729087892</v>
      </c>
      <c r="P34" s="5">
        <f t="shared" si="4"/>
        <v>5763938.9148516506</v>
      </c>
      <c r="Q34" s="5">
        <f t="shared" si="5"/>
        <v>616.93326150714995</v>
      </c>
      <c r="R34" s="60">
        <f t="shared" si="16"/>
        <v>385.74400000000003</v>
      </c>
      <c r="S34" s="42">
        <f t="shared" si="6"/>
        <v>9.4315014378075865</v>
      </c>
      <c r="T34" s="42">
        <f t="shared" si="17"/>
        <v>9.4315014378075865</v>
      </c>
      <c r="U34" s="6">
        <f t="shared" si="8"/>
        <v>17.891064583707347</v>
      </c>
      <c r="V34" s="6">
        <f t="shared" si="9"/>
        <v>422.49806745932256</v>
      </c>
      <c r="W34" s="42">
        <f t="shared" si="10"/>
        <v>194.43519404782739</v>
      </c>
      <c r="X34" s="42">
        <f t="shared" si="11"/>
        <v>1816586.4143086341</v>
      </c>
      <c r="Y34" s="42">
        <f>NPV(B$2,X$4:X34)</f>
        <v>10632172.289179239</v>
      </c>
    </row>
    <row r="35" spans="1:25" x14ac:dyDescent="0.25">
      <c r="A35" s="64">
        <v>9</v>
      </c>
      <c r="B35" s="29">
        <f t="shared" si="24"/>
        <v>2084</v>
      </c>
      <c r="C35" s="30">
        <f t="shared" si="25"/>
        <v>2093</v>
      </c>
      <c r="D35" s="37">
        <v>0.15</v>
      </c>
      <c r="E35" s="81">
        <f t="shared" si="23"/>
        <v>2937.2489999999998</v>
      </c>
      <c r="F35" s="40">
        <f t="shared" si="26"/>
        <v>660881.02499999991</v>
      </c>
      <c r="H35" s="8">
        <f t="shared" si="12"/>
        <v>2036</v>
      </c>
      <c r="I35" s="4">
        <f t="shared" si="19"/>
        <v>2593.2723228716659</v>
      </c>
      <c r="J35" s="4">
        <f t="shared" si="19"/>
        <v>6749.6165672013331</v>
      </c>
      <c r="K35" s="4">
        <f t="shared" si="19"/>
        <v>0</v>
      </c>
      <c r="L35" s="4">
        <f t="shared" si="18"/>
        <v>9342.888890072998</v>
      </c>
      <c r="M35" s="60">
        <f t="shared" si="20"/>
        <v>844.59104548298444</v>
      </c>
      <c r="N35" s="60">
        <f t="shared" si="21"/>
        <v>533.73461902049746</v>
      </c>
      <c r="O35" s="60">
        <f t="shared" si="22"/>
        <v>392.96944477333312</v>
      </c>
      <c r="P35" s="5">
        <f t="shared" ref="P35:P66" si="27">I35*M35+J35*N35+K35*O35</f>
        <v>5792758.6094259098</v>
      </c>
      <c r="Q35" s="5">
        <f t="shared" ref="Q35:Q66" si="28">P35/L35</f>
        <v>620.01792781468578</v>
      </c>
      <c r="R35" s="60">
        <f t="shared" si="16"/>
        <v>385.74400000000003</v>
      </c>
      <c r="S35" s="42">
        <f t="shared" si="6"/>
        <v>9.4315014378075865</v>
      </c>
      <c r="T35" s="42">
        <f t="shared" si="17"/>
        <v>9.4315014378075865</v>
      </c>
      <c r="U35" s="6">
        <f t="shared" ref="U35:U66" si="29">B$5*(I35*M35+J35*N35+K35*O35)/L35</f>
        <v>17.980519906625887</v>
      </c>
      <c r="V35" s="6">
        <f t="shared" si="9"/>
        <v>422.58752278224108</v>
      </c>
      <c r="W35" s="42">
        <f t="shared" si="10"/>
        <v>197.4304050324447</v>
      </c>
      <c r="X35" s="42">
        <f t="shared" ref="X35:X66" si="30">W35*L35</f>
        <v>1844570.3377402397</v>
      </c>
      <c r="Y35" s="42">
        <f>NPV(B$2,X$4:X35)</f>
        <v>10843820.369935466</v>
      </c>
    </row>
    <row r="36" spans="1:25" x14ac:dyDescent="0.25">
      <c r="A36" s="64">
        <v>10</v>
      </c>
      <c r="B36" s="29">
        <f t="shared" si="24"/>
        <v>2094</v>
      </c>
      <c r="C36" s="30">
        <f t="shared" si="25"/>
        <v>2103</v>
      </c>
      <c r="D36" s="37">
        <v>0.15</v>
      </c>
      <c r="E36" s="81">
        <f t="shared" si="23"/>
        <v>2937.2489999999998</v>
      </c>
      <c r="F36" s="40">
        <f t="shared" si="26"/>
        <v>660881.02499999991</v>
      </c>
      <c r="H36" s="8">
        <f t="shared" si="12"/>
        <v>2037</v>
      </c>
      <c r="I36" s="4">
        <f t="shared" si="19"/>
        <v>2593.2723228716659</v>
      </c>
      <c r="J36" s="4">
        <f t="shared" si="19"/>
        <v>6749.6165672013331</v>
      </c>
      <c r="K36" s="4">
        <f t="shared" si="19"/>
        <v>0</v>
      </c>
      <c r="L36" s="4">
        <f t="shared" si="18"/>
        <v>9342.888890072998</v>
      </c>
      <c r="M36" s="60">
        <f t="shared" si="20"/>
        <v>848.81400071039923</v>
      </c>
      <c r="N36" s="60">
        <f t="shared" si="21"/>
        <v>536.40329211559992</v>
      </c>
      <c r="O36" s="60">
        <f t="shared" si="22"/>
        <v>394.93429199719975</v>
      </c>
      <c r="P36" s="5">
        <f t="shared" si="27"/>
        <v>5821722.4024730381</v>
      </c>
      <c r="Q36" s="5">
        <f t="shared" si="28"/>
        <v>623.11801745375908</v>
      </c>
      <c r="R36" s="60">
        <f t="shared" si="16"/>
        <v>385.74400000000003</v>
      </c>
      <c r="S36" s="42">
        <f t="shared" si="6"/>
        <v>9.4315014378075865</v>
      </c>
      <c r="T36" s="42">
        <f t="shared" si="17"/>
        <v>9.4315014378075865</v>
      </c>
      <c r="U36" s="6">
        <f t="shared" si="29"/>
        <v>18.070422506159016</v>
      </c>
      <c r="V36" s="6">
        <f t="shared" si="9"/>
        <v>422.67742538177419</v>
      </c>
      <c r="W36" s="42">
        <f t="shared" si="10"/>
        <v>200.4405920719849</v>
      </c>
      <c r="X36" s="42">
        <f t="shared" si="30"/>
        <v>1872694.1807890015</v>
      </c>
      <c r="Y36" s="42">
        <f>NPV(B$2,X$4:X36)</f>
        <v>11044638.166406631</v>
      </c>
    </row>
    <row r="37" spans="1:25" ht="15.75" thickBot="1" x14ac:dyDescent="0.3">
      <c r="A37" s="65">
        <v>11</v>
      </c>
      <c r="B37" s="79">
        <f t="shared" si="24"/>
        <v>2104</v>
      </c>
      <c r="C37" s="33">
        <v>2115</v>
      </c>
      <c r="D37" s="38">
        <v>0.15</v>
      </c>
      <c r="E37" s="82">
        <f t="shared" ref="E37" si="31">D37*F$14</f>
        <v>2937.2489999999998</v>
      </c>
      <c r="F37" s="41">
        <f t="shared" ref="F37" si="32">E37*B$18</f>
        <v>660881.02499999991</v>
      </c>
      <c r="H37" s="8">
        <f t="shared" si="12"/>
        <v>2038</v>
      </c>
      <c r="I37" s="4">
        <f t="shared" si="19"/>
        <v>2593.2723228716659</v>
      </c>
      <c r="J37" s="4">
        <f t="shared" si="19"/>
        <v>6749.6165672013331</v>
      </c>
      <c r="K37" s="4">
        <f t="shared" si="19"/>
        <v>0</v>
      </c>
      <c r="L37" s="4">
        <f t="shared" si="18"/>
        <v>9342.888890072998</v>
      </c>
      <c r="M37" s="60">
        <f t="shared" si="20"/>
        <v>853.05807071395111</v>
      </c>
      <c r="N37" s="60">
        <f t="shared" si="21"/>
        <v>539.08530857617791</v>
      </c>
      <c r="O37" s="60">
        <f t="shared" si="22"/>
        <v>396.90896345718573</v>
      </c>
      <c r="P37" s="5">
        <f t="shared" si="27"/>
        <v>5850831.014485403</v>
      </c>
      <c r="Q37" s="5">
        <f t="shared" si="28"/>
        <v>626.23360754102782</v>
      </c>
      <c r="R37" s="60">
        <f t="shared" si="16"/>
        <v>385.74400000000003</v>
      </c>
      <c r="S37" s="42">
        <f t="shared" si="6"/>
        <v>9.4315014378075865</v>
      </c>
      <c r="T37" s="42">
        <f t="shared" si="17"/>
        <v>9.4315014378075865</v>
      </c>
      <c r="U37" s="6">
        <f t="shared" si="29"/>
        <v>18.16077461868981</v>
      </c>
      <c r="V37" s="6">
        <f t="shared" si="9"/>
        <v>422.76777749430499</v>
      </c>
      <c r="W37" s="42">
        <f t="shared" si="10"/>
        <v>203.46583004672283</v>
      </c>
      <c r="X37" s="42">
        <f t="shared" si="30"/>
        <v>1900958.6430530075</v>
      </c>
      <c r="Y37" s="42">
        <f>NPV(B$2,X$4:X37)</f>
        <v>11235150.995910875</v>
      </c>
    </row>
    <row r="38" spans="1:25" ht="15.75" thickBot="1" x14ac:dyDescent="0.3">
      <c r="A38" s="8"/>
      <c r="B38" s="11"/>
      <c r="C38" s="11"/>
      <c r="D38" s="11"/>
      <c r="E38" s="2"/>
      <c r="H38" s="8">
        <f t="shared" si="12"/>
        <v>2039</v>
      </c>
      <c r="I38" s="4">
        <f t="shared" si="19"/>
        <v>1121.7111328610654</v>
      </c>
      <c r="J38" s="4">
        <f t="shared" si="19"/>
        <v>4217.921531506383</v>
      </c>
      <c r="K38" s="4">
        <f t="shared" si="19"/>
        <v>0</v>
      </c>
      <c r="L38" s="4">
        <f t="shared" si="18"/>
        <v>5339.6326643674483</v>
      </c>
      <c r="M38" s="60">
        <f t="shared" si="20"/>
        <v>857.32336106752075</v>
      </c>
      <c r="N38" s="60">
        <f t="shared" si="21"/>
        <v>541.7807351190587</v>
      </c>
      <c r="O38" s="60">
        <f t="shared" si="22"/>
        <v>398.89350827447163</v>
      </c>
      <c r="P38" s="5">
        <f t="shared" si="27"/>
        <v>3246857.7865853389</v>
      </c>
      <c r="Q38" s="5">
        <f t="shared" si="28"/>
        <v>608.06763136579411</v>
      </c>
      <c r="R38" s="60">
        <f t="shared" si="16"/>
        <v>385.74400000000003</v>
      </c>
      <c r="S38" s="42">
        <f t="shared" si="6"/>
        <v>16.502534076553133</v>
      </c>
      <c r="T38" s="42">
        <f t="shared" si="17"/>
        <v>16.502534076553129</v>
      </c>
      <c r="U38" s="6">
        <f t="shared" si="29"/>
        <v>17.633961309608033</v>
      </c>
      <c r="V38" s="6">
        <f t="shared" si="9"/>
        <v>436.38302946271432</v>
      </c>
      <c r="W38" s="42">
        <f t="shared" si="10"/>
        <v>171.68460190307979</v>
      </c>
      <c r="X38" s="42">
        <f t="shared" si="30"/>
        <v>916732.70829060662</v>
      </c>
      <c r="Y38" s="42">
        <f>NPV(B$2,X$4:X38)</f>
        <v>11321014.875619149</v>
      </c>
    </row>
    <row r="39" spans="1:25" ht="15.75" thickBot="1" x14ac:dyDescent="0.3">
      <c r="A39" s="133" t="s">
        <v>46</v>
      </c>
      <c r="B39" s="134"/>
      <c r="C39" s="134"/>
      <c r="D39" s="134"/>
      <c r="E39" s="134"/>
      <c r="F39" s="135"/>
      <c r="H39" s="8">
        <f>H38+1</f>
        <v>2040</v>
      </c>
      <c r="I39" s="4">
        <f t="shared" si="19"/>
        <v>1121.7111328610654</v>
      </c>
      <c r="J39" s="4">
        <f t="shared" si="19"/>
        <v>4217.921531506383</v>
      </c>
      <c r="K39" s="4">
        <f t="shared" si="19"/>
        <v>0</v>
      </c>
      <c r="L39" s="4">
        <f t="shared" si="18"/>
        <v>5339.6326643674483</v>
      </c>
      <c r="M39" s="60">
        <f>M38*(1+$B$4)</f>
        <v>861.60997787285828</v>
      </c>
      <c r="N39" s="60">
        <f>N38*(1+$B$4)</f>
        <v>544.48963879465396</v>
      </c>
      <c r="O39" s="60">
        <f>O38*(1+$B$4)</f>
        <v>400.88797581584396</v>
      </c>
      <c r="P39" s="5">
        <f t="shared" si="27"/>
        <v>3263092.0755182654</v>
      </c>
      <c r="Q39" s="5">
        <f t="shared" si="28"/>
        <v>611.10796952262308</v>
      </c>
      <c r="R39" s="60">
        <f>R38</f>
        <v>385.74400000000003</v>
      </c>
      <c r="S39" s="42">
        <f t="shared" si="6"/>
        <v>16.502534076553133</v>
      </c>
      <c r="T39" s="42">
        <f t="shared" si="17"/>
        <v>16.502534076553129</v>
      </c>
      <c r="U39" s="6">
        <f t="shared" si="29"/>
        <v>17.722131116156071</v>
      </c>
      <c r="V39" s="6">
        <f t="shared" si="9"/>
        <v>436.47119926926234</v>
      </c>
      <c r="W39" s="42">
        <f t="shared" si="10"/>
        <v>174.63677025336074</v>
      </c>
      <c r="X39" s="42">
        <f t="shared" si="30"/>
        <v>932496.20284447854</v>
      </c>
      <c r="Y39" s="42">
        <f>NPV(B$2,X$4:X39)</f>
        <v>11402641.35686833</v>
      </c>
    </row>
    <row r="40" spans="1:25" ht="15.75" thickBot="1" x14ac:dyDescent="0.3">
      <c r="A40" s="61" t="s">
        <v>40</v>
      </c>
      <c r="B40" s="66" t="s">
        <v>24</v>
      </c>
      <c r="C40" s="67" t="s">
        <v>25</v>
      </c>
      <c r="D40" s="68" t="s">
        <v>47</v>
      </c>
      <c r="E40" s="69" t="s">
        <v>42</v>
      </c>
      <c r="F40" s="70" t="s">
        <v>45</v>
      </c>
      <c r="H40" s="8">
        <f t="shared" si="12"/>
        <v>2041</v>
      </c>
      <c r="I40" s="4">
        <f t="shared" si="19"/>
        <v>1121.7111328610654</v>
      </c>
      <c r="J40" s="4">
        <f t="shared" si="19"/>
        <v>4217.921531506383</v>
      </c>
      <c r="K40" s="4">
        <f t="shared" si="19"/>
        <v>0</v>
      </c>
      <c r="L40" s="4">
        <f t="shared" si="18"/>
        <v>5339.6326643674483</v>
      </c>
      <c r="M40" s="60">
        <f t="shared" si="20"/>
        <v>865.91802776222244</v>
      </c>
      <c r="N40" s="60">
        <f t="shared" si="21"/>
        <v>547.21208698862722</v>
      </c>
      <c r="O40" s="60">
        <f t="shared" si="22"/>
        <v>402.89241569492316</v>
      </c>
      <c r="P40" s="5">
        <f t="shared" si="27"/>
        <v>3279407.5358958566</v>
      </c>
      <c r="Q40" s="5">
        <f t="shared" si="28"/>
        <v>614.16350937023617</v>
      </c>
      <c r="R40" s="60">
        <f t="shared" si="16"/>
        <v>385.74400000000003</v>
      </c>
      <c r="S40" s="42">
        <f t="shared" si="6"/>
        <v>16.502534076553133</v>
      </c>
      <c r="T40" s="42">
        <f t="shared" si="17"/>
        <v>16.502534076553129</v>
      </c>
      <c r="U40" s="6">
        <f t="shared" si="29"/>
        <v>17.810741771736851</v>
      </c>
      <c r="V40" s="6">
        <f t="shared" si="9"/>
        <v>436.55980992484314</v>
      </c>
      <c r="W40" s="42">
        <f t="shared" si="10"/>
        <v>177.60369944539303</v>
      </c>
      <c r="X40" s="42">
        <f t="shared" si="30"/>
        <v>948338.51487111952</v>
      </c>
      <c r="Y40" s="42">
        <f>NPV(B$2,X$4:X40)</f>
        <v>11480223.829085222</v>
      </c>
    </row>
    <row r="41" spans="1:25" x14ac:dyDescent="0.25">
      <c r="A41" s="63">
        <v>1</v>
      </c>
      <c r="B41" s="73">
        <v>2004</v>
      </c>
      <c r="C41" s="74">
        <v>2013</v>
      </c>
      <c r="D41" s="75">
        <v>0.25</v>
      </c>
      <c r="E41" s="76">
        <f>D41*F$14</f>
        <v>4895.415</v>
      </c>
      <c r="F41" s="77">
        <f>E41*B$19</f>
        <v>1468624.5</v>
      </c>
      <c r="H41" s="8">
        <f t="shared" si="12"/>
        <v>2042</v>
      </c>
      <c r="I41" s="4">
        <f t="shared" si="19"/>
        <v>1121.7111328610654</v>
      </c>
      <c r="J41" s="4">
        <f t="shared" si="19"/>
        <v>4217.921531506383</v>
      </c>
      <c r="K41" s="4">
        <f t="shared" si="19"/>
        <v>0</v>
      </c>
      <c r="L41" s="4">
        <f t="shared" si="18"/>
        <v>5339.6326643674483</v>
      </c>
      <c r="M41" s="60">
        <f t="shared" si="20"/>
        <v>870.24761790103344</v>
      </c>
      <c r="N41" s="60">
        <f t="shared" si="21"/>
        <v>549.94814742357028</v>
      </c>
      <c r="O41" s="60">
        <f t="shared" si="22"/>
        <v>404.90687777339775</v>
      </c>
      <c r="P41" s="5">
        <f t="shared" si="27"/>
        <v>3295804.5735753356</v>
      </c>
      <c r="Q41" s="5">
        <f t="shared" si="28"/>
        <v>617.23432691708729</v>
      </c>
      <c r="R41" s="60">
        <f t="shared" si="16"/>
        <v>385.74400000000003</v>
      </c>
      <c r="S41" s="42">
        <f t="shared" si="6"/>
        <v>16.502534076553133</v>
      </c>
      <c r="T41" s="42">
        <f t="shared" si="17"/>
        <v>16.502534076553129</v>
      </c>
      <c r="U41" s="6">
        <f t="shared" si="29"/>
        <v>17.899795480595532</v>
      </c>
      <c r="V41" s="6">
        <f t="shared" si="9"/>
        <v>436.64886363370181</v>
      </c>
      <c r="W41" s="42">
        <f t="shared" si="10"/>
        <v>180.58546328338548</v>
      </c>
      <c r="X41" s="42">
        <f t="shared" si="30"/>
        <v>964260.03845789365</v>
      </c>
      <c r="Y41" s="42">
        <f>NPV(B$2,X$4:X41)</f>
        <v>11553948.122137083</v>
      </c>
    </row>
    <row r="42" spans="1:25" x14ac:dyDescent="0.25">
      <c r="A42" s="64">
        <v>2</v>
      </c>
      <c r="B42" s="29">
        <f>B41+10</f>
        <v>2014</v>
      </c>
      <c r="C42" s="30">
        <f>C41+10</f>
        <v>2023</v>
      </c>
      <c r="D42" s="37">
        <v>0.2</v>
      </c>
      <c r="E42" s="72">
        <f t="shared" ref="E42:E51" si="33">D42*F$14</f>
        <v>3916.3320000000003</v>
      </c>
      <c r="F42" s="78">
        <f t="shared" ref="F42:F51" si="34">E42*B$19</f>
        <v>1174899.6000000001</v>
      </c>
      <c r="H42" s="8">
        <f t="shared" si="12"/>
        <v>2043</v>
      </c>
      <c r="I42" s="4">
        <f t="shared" si="19"/>
        <v>1121.7111328610654</v>
      </c>
      <c r="J42" s="4">
        <f t="shared" si="19"/>
        <v>4217.921531506383</v>
      </c>
      <c r="K42" s="4">
        <f t="shared" si="19"/>
        <v>0</v>
      </c>
      <c r="L42" s="4">
        <f t="shared" si="18"/>
        <v>5339.6326643674483</v>
      </c>
      <c r="M42" s="60">
        <f t="shared" si="20"/>
        <v>874.59885599053848</v>
      </c>
      <c r="N42" s="60">
        <f t="shared" si="21"/>
        <v>552.69788816068808</v>
      </c>
      <c r="O42" s="60">
        <f t="shared" si="22"/>
        <v>406.93141216226468</v>
      </c>
      <c r="P42" s="5">
        <f t="shared" si="27"/>
        <v>3312283.5964432117</v>
      </c>
      <c r="Q42" s="5">
        <f t="shared" si="28"/>
        <v>620.32049855167259</v>
      </c>
      <c r="R42" s="60">
        <f t="shared" si="16"/>
        <v>385.74400000000003</v>
      </c>
      <c r="S42" s="42">
        <f t="shared" si="6"/>
        <v>16.502534076553133</v>
      </c>
      <c r="T42" s="42">
        <f t="shared" si="17"/>
        <v>16.502534076553129</v>
      </c>
      <c r="U42" s="6">
        <f t="shared" si="29"/>
        <v>17.989294457998508</v>
      </c>
      <c r="V42" s="6">
        <f t="shared" si="9"/>
        <v>436.73836261110478</v>
      </c>
      <c r="W42" s="42">
        <f t="shared" si="10"/>
        <v>183.58213594056781</v>
      </c>
      <c r="X42" s="42">
        <f t="shared" si="30"/>
        <v>980261.1696626012</v>
      </c>
      <c r="Y42" s="42">
        <f>NPV(B$2,X$4:X42)</f>
        <v>11623992.691549988</v>
      </c>
    </row>
    <row r="43" spans="1:25" x14ac:dyDescent="0.25">
      <c r="A43" s="64">
        <v>3</v>
      </c>
      <c r="B43" s="29">
        <f t="shared" ref="B43:B51" si="35">B42+10</f>
        <v>2024</v>
      </c>
      <c r="C43" s="30">
        <f t="shared" ref="C43:C50" si="36">C42+10</f>
        <v>2033</v>
      </c>
      <c r="D43" s="37">
        <v>0.15</v>
      </c>
      <c r="E43" s="72">
        <f>D43*F$14</f>
        <v>2937.2489999999998</v>
      </c>
      <c r="F43" s="78">
        <f t="shared" si="34"/>
        <v>881174.7</v>
      </c>
      <c r="H43" s="8">
        <f t="shared" si="12"/>
        <v>2044</v>
      </c>
      <c r="I43" s="4">
        <f t="shared" ref="I43:K62" si="37">SUMIFS($E$54:$E$122,$D$54:$D$122,I$2,$B$54:$B$122,"&lt;="&amp;$H43,$C$54:$C$122,"&gt;="&amp;$H43)/1000/5</f>
        <v>2298.2755929670761</v>
      </c>
      <c r="J43" s="4">
        <f t="shared" si="37"/>
        <v>5597.4803916871679</v>
      </c>
      <c r="K43" s="4">
        <f t="shared" si="37"/>
        <v>0</v>
      </c>
      <c r="L43" s="4">
        <f t="shared" si="18"/>
        <v>7895.7559846542445</v>
      </c>
      <c r="M43" s="60">
        <f t="shared" si="20"/>
        <v>878.97185027049113</v>
      </c>
      <c r="N43" s="60">
        <f t="shared" si="21"/>
        <v>555.46137760149145</v>
      </c>
      <c r="O43" s="60">
        <f t="shared" si="22"/>
        <v>408.96606922307598</v>
      </c>
      <c r="P43" s="5">
        <f t="shared" si="27"/>
        <v>5129303.7198456712</v>
      </c>
      <c r="Q43" s="5">
        <f t="shared" si="28"/>
        <v>649.62794313992265</v>
      </c>
      <c r="R43" s="60">
        <f t="shared" si="16"/>
        <v>385.74400000000003</v>
      </c>
      <c r="S43" s="42">
        <f t="shared" si="6"/>
        <v>11.160105526470202</v>
      </c>
      <c r="T43" s="42">
        <f t="shared" si="17"/>
        <v>11.1601055264702</v>
      </c>
      <c r="U43" s="6">
        <f t="shared" si="29"/>
        <v>18.839210351057758</v>
      </c>
      <c r="V43" s="6">
        <f t="shared" si="9"/>
        <v>426.90342140399821</v>
      </c>
      <c r="W43" s="42">
        <f t="shared" si="10"/>
        <v>222.72452173592444</v>
      </c>
      <c r="X43" s="42">
        <f t="shared" si="30"/>
        <v>1758578.4754256797</v>
      </c>
      <c r="Y43" s="42">
        <f>NPV(B$2,X$4:X43)</f>
        <v>11741431.232184246</v>
      </c>
    </row>
    <row r="44" spans="1:25" x14ac:dyDescent="0.25">
      <c r="A44" s="64">
        <v>4</v>
      </c>
      <c r="B44" s="29">
        <f t="shared" si="35"/>
        <v>2034</v>
      </c>
      <c r="C44" s="30">
        <f t="shared" si="36"/>
        <v>2043</v>
      </c>
      <c r="D44" s="37">
        <v>0.15</v>
      </c>
      <c r="E44" s="72">
        <f t="shared" si="33"/>
        <v>2937.2489999999998</v>
      </c>
      <c r="F44" s="78">
        <f t="shared" si="34"/>
        <v>881174.7</v>
      </c>
      <c r="H44" s="8">
        <f t="shared" si="12"/>
        <v>2045</v>
      </c>
      <c r="I44" s="4">
        <f t="shared" si="37"/>
        <v>2298.2755929670761</v>
      </c>
      <c r="J44" s="4">
        <f t="shared" si="37"/>
        <v>5597.4803916871679</v>
      </c>
      <c r="K44" s="4">
        <f t="shared" si="37"/>
        <v>0</v>
      </c>
      <c r="L44" s="4">
        <f t="shared" si="18"/>
        <v>7895.7559846542445</v>
      </c>
      <c r="M44" s="60">
        <f t="shared" si="20"/>
        <v>883.36670952184352</v>
      </c>
      <c r="N44" s="60">
        <f t="shared" si="21"/>
        <v>558.23868448949884</v>
      </c>
      <c r="O44" s="60">
        <f t="shared" si="22"/>
        <v>411.01089956919134</v>
      </c>
      <c r="P44" s="5">
        <f t="shared" si="27"/>
        <v>5154950.2384448992</v>
      </c>
      <c r="Q44" s="5">
        <f t="shared" si="28"/>
        <v>652.87608285562214</v>
      </c>
      <c r="R44" s="60">
        <f t="shared" si="16"/>
        <v>385.74400000000003</v>
      </c>
      <c r="S44" s="42">
        <f t="shared" si="6"/>
        <v>11.160105526470202</v>
      </c>
      <c r="T44" s="42">
        <f t="shared" si="17"/>
        <v>11.1601055264702</v>
      </c>
      <c r="U44" s="6">
        <f t="shared" si="29"/>
        <v>18.933406402813045</v>
      </c>
      <c r="V44" s="6">
        <f t="shared" si="9"/>
        <v>426.99761745575347</v>
      </c>
      <c r="W44" s="42">
        <f t="shared" si="10"/>
        <v>225.87846539986867</v>
      </c>
      <c r="X44" s="42">
        <f t="shared" si="30"/>
        <v>1783481.2449855297</v>
      </c>
      <c r="Y44" s="42">
        <f>NPV(B$2,X$4:X44)</f>
        <v>11852741.098608358</v>
      </c>
    </row>
    <row r="45" spans="1:25" x14ac:dyDescent="0.25">
      <c r="A45" s="64">
        <v>5</v>
      </c>
      <c r="B45" s="29">
        <f t="shared" si="35"/>
        <v>2044</v>
      </c>
      <c r="C45" s="30">
        <f t="shared" si="36"/>
        <v>2053</v>
      </c>
      <c r="D45" s="37">
        <v>0.15</v>
      </c>
      <c r="E45" s="72">
        <f t="shared" si="33"/>
        <v>2937.2489999999998</v>
      </c>
      <c r="F45" s="78">
        <f t="shared" si="34"/>
        <v>881174.7</v>
      </c>
      <c r="H45" s="8">
        <f t="shared" si="12"/>
        <v>2046</v>
      </c>
      <c r="I45" s="4">
        <f t="shared" si="37"/>
        <v>2298.2755929670761</v>
      </c>
      <c r="J45" s="4">
        <f t="shared" si="37"/>
        <v>5597.4803916871679</v>
      </c>
      <c r="K45" s="4">
        <f t="shared" si="37"/>
        <v>0</v>
      </c>
      <c r="L45" s="4">
        <f t="shared" si="18"/>
        <v>7895.7559846542445</v>
      </c>
      <c r="M45" s="60">
        <f t="shared" si="20"/>
        <v>887.78354306945266</v>
      </c>
      <c r="N45" s="60">
        <f t="shared" si="21"/>
        <v>561.0298779119463</v>
      </c>
      <c r="O45" s="60">
        <f t="shared" si="22"/>
        <v>413.06595406703724</v>
      </c>
      <c r="P45" s="5">
        <f t="shared" si="27"/>
        <v>5180724.9896371234</v>
      </c>
      <c r="Q45" s="5">
        <f t="shared" si="28"/>
        <v>656.14046326990024</v>
      </c>
      <c r="R45" s="60">
        <f t="shared" si="16"/>
        <v>385.74400000000003</v>
      </c>
      <c r="S45" s="42">
        <f t="shared" si="6"/>
        <v>11.160105526470202</v>
      </c>
      <c r="T45" s="42">
        <f t="shared" si="17"/>
        <v>11.1601055264702</v>
      </c>
      <c r="U45" s="6">
        <f t="shared" si="29"/>
        <v>19.028073434827107</v>
      </c>
      <c r="V45" s="6">
        <f t="shared" si="9"/>
        <v>427.09228448776753</v>
      </c>
      <c r="W45" s="42">
        <f t="shared" si="10"/>
        <v>229.04817878213271</v>
      </c>
      <c r="X45" s="42">
        <f t="shared" si="30"/>
        <v>1808508.5283931796</v>
      </c>
      <c r="Y45" s="42">
        <f>NPV(B$2,X$4:X45)</f>
        <v>11958228.816833131</v>
      </c>
    </row>
    <row r="46" spans="1:25" x14ac:dyDescent="0.25">
      <c r="A46" s="64">
        <v>6</v>
      </c>
      <c r="B46" s="29">
        <f t="shared" si="35"/>
        <v>2054</v>
      </c>
      <c r="C46" s="30">
        <f t="shared" si="36"/>
        <v>2063</v>
      </c>
      <c r="D46" s="37">
        <v>0.15</v>
      </c>
      <c r="E46" s="72">
        <f t="shared" si="33"/>
        <v>2937.2489999999998</v>
      </c>
      <c r="F46" s="78">
        <f t="shared" si="34"/>
        <v>881174.7</v>
      </c>
      <c r="H46" s="8">
        <f t="shared" si="12"/>
        <v>2047</v>
      </c>
      <c r="I46" s="4">
        <f t="shared" si="37"/>
        <v>2298.2755929670761</v>
      </c>
      <c r="J46" s="4">
        <f t="shared" si="37"/>
        <v>5597.4803916871679</v>
      </c>
      <c r="K46" s="4">
        <f t="shared" si="37"/>
        <v>0</v>
      </c>
      <c r="L46" s="4">
        <f t="shared" si="18"/>
        <v>7895.7559846542445</v>
      </c>
      <c r="M46" s="60">
        <f t="shared" si="20"/>
        <v>892.22246078479986</v>
      </c>
      <c r="N46" s="60">
        <f t="shared" si="21"/>
        <v>563.83502730150599</v>
      </c>
      <c r="O46" s="60">
        <f t="shared" si="22"/>
        <v>415.13128383737239</v>
      </c>
      <c r="P46" s="5">
        <f t="shared" si="27"/>
        <v>5206628.6145853084</v>
      </c>
      <c r="Q46" s="5">
        <f t="shared" si="28"/>
        <v>659.42116558624969</v>
      </c>
      <c r="R46" s="60">
        <f t="shared" si="16"/>
        <v>385.74400000000003</v>
      </c>
      <c r="S46" s="42">
        <f t="shared" si="6"/>
        <v>11.160105526470202</v>
      </c>
      <c r="T46" s="42">
        <f t="shared" si="17"/>
        <v>11.1601055264702</v>
      </c>
      <c r="U46" s="6">
        <f t="shared" si="29"/>
        <v>19.123213802001242</v>
      </c>
      <c r="V46" s="6">
        <f t="shared" si="9"/>
        <v>427.1874248549417</v>
      </c>
      <c r="W46" s="42">
        <f t="shared" si="10"/>
        <v>232.23374073130799</v>
      </c>
      <c r="X46" s="42">
        <f t="shared" si="30"/>
        <v>1833660.9482178672</v>
      </c>
      <c r="Y46" s="42">
        <f>NPV(B$2,X$4:X46)</f>
        <v>12058186.595274288</v>
      </c>
    </row>
    <row r="47" spans="1:25" x14ac:dyDescent="0.25">
      <c r="A47" s="64">
        <v>7</v>
      </c>
      <c r="B47" s="29">
        <f t="shared" si="35"/>
        <v>2064</v>
      </c>
      <c r="C47" s="30">
        <f t="shared" si="36"/>
        <v>2073</v>
      </c>
      <c r="D47" s="37">
        <v>0.15</v>
      </c>
      <c r="E47" s="72">
        <f t="shared" si="33"/>
        <v>2937.2489999999998</v>
      </c>
      <c r="F47" s="78">
        <f t="shared" si="34"/>
        <v>881174.7</v>
      </c>
      <c r="H47" s="8">
        <f t="shared" si="12"/>
        <v>2048</v>
      </c>
      <c r="I47" s="4">
        <f t="shared" si="37"/>
        <v>2298.2755929670761</v>
      </c>
      <c r="J47" s="4">
        <f t="shared" si="37"/>
        <v>5597.4803916871679</v>
      </c>
      <c r="K47" s="4">
        <f t="shared" si="37"/>
        <v>0</v>
      </c>
      <c r="L47" s="4">
        <f t="shared" si="18"/>
        <v>7895.7559846542445</v>
      </c>
      <c r="M47" s="60">
        <f t="shared" si="20"/>
        <v>896.68357308872373</v>
      </c>
      <c r="N47" s="60">
        <f t="shared" si="21"/>
        <v>566.6542024380135</v>
      </c>
      <c r="O47" s="60">
        <f t="shared" si="22"/>
        <v>417.20694025655922</v>
      </c>
      <c r="P47" s="5">
        <f t="shared" si="27"/>
        <v>5232661.7576582348</v>
      </c>
      <c r="Q47" s="5">
        <f t="shared" si="28"/>
        <v>662.71827141418089</v>
      </c>
      <c r="R47" s="60">
        <f t="shared" si="16"/>
        <v>385.74400000000003</v>
      </c>
      <c r="S47" s="42">
        <f t="shared" si="6"/>
        <v>11.160105526470202</v>
      </c>
      <c r="T47" s="42">
        <f t="shared" si="17"/>
        <v>11.1601055264702</v>
      </c>
      <c r="U47" s="6">
        <f t="shared" si="29"/>
        <v>19.218829871011245</v>
      </c>
      <c r="V47" s="6">
        <f t="shared" si="9"/>
        <v>427.28304092395166</v>
      </c>
      <c r="W47" s="42">
        <f t="shared" si="10"/>
        <v>235.43523049022923</v>
      </c>
      <c r="X47" s="42">
        <f t="shared" si="30"/>
        <v>1858939.130141679</v>
      </c>
      <c r="Y47" s="42">
        <f>NPV(B$2,X$4:X47)</f>
        <v>12152892.912998842</v>
      </c>
    </row>
    <row r="48" spans="1:25" x14ac:dyDescent="0.25">
      <c r="A48" s="64">
        <v>8</v>
      </c>
      <c r="B48" s="29">
        <f t="shared" si="35"/>
        <v>2074</v>
      </c>
      <c r="C48" s="30">
        <f t="shared" si="36"/>
        <v>2083</v>
      </c>
      <c r="D48" s="37">
        <v>0.1</v>
      </c>
      <c r="E48" s="72">
        <f t="shared" si="33"/>
        <v>1958.1660000000002</v>
      </c>
      <c r="F48" s="78">
        <f t="shared" si="34"/>
        <v>587449.80000000005</v>
      </c>
      <c r="H48" s="8">
        <f t="shared" si="12"/>
        <v>2049</v>
      </c>
      <c r="I48" s="4">
        <f t="shared" si="37"/>
        <v>1851.8345584646329</v>
      </c>
      <c r="J48" s="4">
        <f t="shared" si="37"/>
        <v>4409.0953872474984</v>
      </c>
      <c r="K48" s="4">
        <f t="shared" si="37"/>
        <v>0</v>
      </c>
      <c r="L48" s="4">
        <f t="shared" si="18"/>
        <v>6260.9299457121315</v>
      </c>
      <c r="M48" s="60">
        <f t="shared" si="20"/>
        <v>901.1669909541672</v>
      </c>
      <c r="N48" s="60">
        <f t="shared" si="21"/>
        <v>569.48747345020354</v>
      </c>
      <c r="O48" s="60">
        <f>O47*(1+$B$4)</f>
        <v>419.29297495784198</v>
      </c>
      <c r="P48" s="5">
        <f t="shared" si="27"/>
        <v>4179736.7690810366</v>
      </c>
      <c r="Q48" s="5">
        <f t="shared" si="28"/>
        <v>667.59040674837388</v>
      </c>
      <c r="R48" s="60">
        <f t="shared" si="16"/>
        <v>385.74400000000003</v>
      </c>
      <c r="S48" s="42">
        <f t="shared" si="6"/>
        <v>14.074182392081905</v>
      </c>
      <c r="T48" s="42">
        <f t="shared" si="17"/>
        <v>14.074182392081905</v>
      </c>
      <c r="U48" s="6">
        <f t="shared" si="29"/>
        <v>19.360121795702845</v>
      </c>
      <c r="V48" s="6">
        <f t="shared" si="9"/>
        <v>433.25248657986674</v>
      </c>
      <c r="W48" s="42">
        <f t="shared" si="10"/>
        <v>234.33792016850714</v>
      </c>
      <c r="X48" s="42">
        <f t="shared" si="30"/>
        <v>1467173.3017989052</v>
      </c>
      <c r="Y48" s="42">
        <f>NPV(B$2,X$4:X48)</f>
        <v>12222750.152461039</v>
      </c>
    </row>
    <row r="49" spans="1:25" x14ac:dyDescent="0.25">
      <c r="A49" s="64">
        <v>9</v>
      </c>
      <c r="B49" s="29">
        <f t="shared" si="35"/>
        <v>2084</v>
      </c>
      <c r="C49" s="30">
        <f t="shared" si="36"/>
        <v>2093</v>
      </c>
      <c r="D49" s="37">
        <v>0.1</v>
      </c>
      <c r="E49" s="72">
        <f t="shared" si="33"/>
        <v>1958.1660000000002</v>
      </c>
      <c r="F49" s="78">
        <f t="shared" si="34"/>
        <v>587449.80000000005</v>
      </c>
      <c r="H49" s="8">
        <f t="shared" si="12"/>
        <v>2050</v>
      </c>
      <c r="I49" s="4">
        <f t="shared" si="37"/>
        <v>1851.8345584646329</v>
      </c>
      <c r="J49" s="4">
        <f t="shared" si="37"/>
        <v>4409.0953872474984</v>
      </c>
      <c r="K49" s="4">
        <f t="shared" si="37"/>
        <v>0</v>
      </c>
      <c r="L49" s="4">
        <f t="shared" si="18"/>
        <v>6260.9299457121315</v>
      </c>
      <c r="M49" s="60">
        <f t="shared" si="20"/>
        <v>905.67282590893797</v>
      </c>
      <c r="N49" s="60">
        <f t="shared" si="21"/>
        <v>572.33491081745444</v>
      </c>
      <c r="O49" s="60">
        <f t="shared" si="22"/>
        <v>421.38943983263113</v>
      </c>
      <c r="P49" s="5">
        <f t="shared" si="27"/>
        <v>4200635.4529264411</v>
      </c>
      <c r="Q49" s="5">
        <f t="shared" si="28"/>
        <v>670.92835878211565</v>
      </c>
      <c r="R49" s="60">
        <f t="shared" si="16"/>
        <v>385.74400000000003</v>
      </c>
      <c r="S49" s="42">
        <f t="shared" si="6"/>
        <v>14.074182392081905</v>
      </c>
      <c r="T49" s="42">
        <f t="shared" si="17"/>
        <v>14.074182392081905</v>
      </c>
      <c r="U49" s="6">
        <f t="shared" si="29"/>
        <v>19.456922404681357</v>
      </c>
      <c r="V49" s="6">
        <f t="shared" si="9"/>
        <v>433.34928718884521</v>
      </c>
      <c r="W49" s="42">
        <f t="shared" si="10"/>
        <v>237.57907159327044</v>
      </c>
      <c r="X49" s="42">
        <f t="shared" si="30"/>
        <v>1487465.9238127933</v>
      </c>
      <c r="Y49" s="42">
        <f>NPV(B$2,X$4:X49)</f>
        <v>12288940.285163511</v>
      </c>
    </row>
    <row r="50" spans="1:25" x14ac:dyDescent="0.25">
      <c r="A50" s="64">
        <v>10</v>
      </c>
      <c r="B50" s="29">
        <f t="shared" si="35"/>
        <v>2094</v>
      </c>
      <c r="C50" s="30">
        <f t="shared" si="36"/>
        <v>2103</v>
      </c>
      <c r="D50" s="37">
        <v>0.1</v>
      </c>
      <c r="E50" s="72">
        <f t="shared" si="33"/>
        <v>1958.1660000000002</v>
      </c>
      <c r="F50" s="78">
        <f t="shared" si="34"/>
        <v>587449.80000000005</v>
      </c>
      <c r="H50" s="8">
        <f t="shared" si="12"/>
        <v>2051</v>
      </c>
      <c r="I50" s="4">
        <f t="shared" si="37"/>
        <v>1851.8345584646329</v>
      </c>
      <c r="J50" s="4">
        <f t="shared" si="37"/>
        <v>4409.0953872474984</v>
      </c>
      <c r="K50" s="4">
        <f t="shared" si="37"/>
        <v>0</v>
      </c>
      <c r="L50" s="4">
        <f t="shared" si="18"/>
        <v>6260.9299457121315</v>
      </c>
      <c r="M50" s="60">
        <f t="shared" si="20"/>
        <v>910.20119003848254</v>
      </c>
      <c r="N50" s="60">
        <f t="shared" si="21"/>
        <v>575.19658537154169</v>
      </c>
      <c r="O50" s="60">
        <f t="shared" si="22"/>
        <v>423.49638703179426</v>
      </c>
      <c r="P50" s="5">
        <f t="shared" si="27"/>
        <v>4221638.6301910728</v>
      </c>
      <c r="Q50" s="5">
        <f t="shared" si="28"/>
        <v>674.28300057602621</v>
      </c>
      <c r="R50" s="60">
        <f t="shared" si="16"/>
        <v>385.74400000000003</v>
      </c>
      <c r="S50" s="42">
        <f t="shared" si="6"/>
        <v>14.074182392081905</v>
      </c>
      <c r="T50" s="42">
        <f t="shared" si="17"/>
        <v>14.074182392081905</v>
      </c>
      <c r="U50" s="6">
        <f t="shared" si="29"/>
        <v>19.554207016704762</v>
      </c>
      <c r="V50" s="6">
        <f t="shared" si="9"/>
        <v>433.44657180086864</v>
      </c>
      <c r="W50" s="42">
        <f t="shared" si="10"/>
        <v>240.83642877515757</v>
      </c>
      <c r="X50" s="42">
        <f t="shared" si="30"/>
        <v>1507860.0089367509</v>
      </c>
      <c r="Y50" s="42">
        <f>NPV(B$2,X$4:X50)</f>
        <v>12351648.360570747</v>
      </c>
    </row>
    <row r="51" spans="1:25" ht="15.75" thickBot="1" x14ac:dyDescent="0.3">
      <c r="A51" s="65">
        <v>11</v>
      </c>
      <c r="B51" s="79">
        <f t="shared" si="35"/>
        <v>2104</v>
      </c>
      <c r="C51" s="33">
        <v>2115</v>
      </c>
      <c r="D51" s="38">
        <v>0.1</v>
      </c>
      <c r="E51" s="129">
        <f t="shared" si="33"/>
        <v>1958.1660000000002</v>
      </c>
      <c r="F51" s="21">
        <f t="shared" si="34"/>
        <v>587449.80000000005</v>
      </c>
      <c r="H51" s="8">
        <f t="shared" si="12"/>
        <v>2052</v>
      </c>
      <c r="I51" s="4">
        <f t="shared" si="37"/>
        <v>1851.8345584646329</v>
      </c>
      <c r="J51" s="4">
        <f t="shared" si="37"/>
        <v>4409.0953872474984</v>
      </c>
      <c r="K51" s="4">
        <f t="shared" si="37"/>
        <v>0</v>
      </c>
      <c r="L51" s="4">
        <f t="shared" si="18"/>
        <v>6260.9299457121315</v>
      </c>
      <c r="M51" s="60">
        <f t="shared" si="20"/>
        <v>914.75219598867488</v>
      </c>
      <c r="N51" s="60">
        <f t="shared" si="21"/>
        <v>578.07256829839935</v>
      </c>
      <c r="O51" s="60">
        <f t="shared" si="22"/>
        <v>425.61386896695319</v>
      </c>
      <c r="P51" s="5">
        <f t="shared" si="27"/>
        <v>4242746.8233420281</v>
      </c>
      <c r="Q51" s="5">
        <f t="shared" si="28"/>
        <v>677.65441557890631</v>
      </c>
      <c r="R51" s="60">
        <f t="shared" si="16"/>
        <v>385.74400000000003</v>
      </c>
      <c r="S51" s="42">
        <f t="shared" si="6"/>
        <v>14.074182392081905</v>
      </c>
      <c r="T51" s="42">
        <f t="shared" si="17"/>
        <v>14.074182392081905</v>
      </c>
      <c r="U51" s="6">
        <f t="shared" si="29"/>
        <v>19.651978051788284</v>
      </c>
      <c r="V51" s="6">
        <f t="shared" si="9"/>
        <v>433.54434283595214</v>
      </c>
      <c r="W51" s="42">
        <f t="shared" si="10"/>
        <v>244.11007274295417</v>
      </c>
      <c r="X51" s="42">
        <f t="shared" si="30"/>
        <v>1528356.0644863285</v>
      </c>
      <c r="Y51" s="42">
        <f>NPV(B$2,X$4:X51)</f>
        <v>12411050.654403333</v>
      </c>
    </row>
    <row r="52" spans="1:25" x14ac:dyDescent="0.25">
      <c r="A52" s="85"/>
      <c r="B52" s="124"/>
      <c r="C52" s="125"/>
      <c r="D52" s="126"/>
      <c r="E52" s="127"/>
      <c r="F52" s="128"/>
      <c r="H52" s="8">
        <f t="shared" si="12"/>
        <v>2053</v>
      </c>
      <c r="I52" s="4">
        <f t="shared" si="37"/>
        <v>1851.8345584646329</v>
      </c>
      <c r="J52" s="4">
        <f t="shared" si="37"/>
        <v>4409.0953872474984</v>
      </c>
      <c r="K52" s="4">
        <f t="shared" si="37"/>
        <v>0</v>
      </c>
      <c r="L52" s="4">
        <f t="shared" si="18"/>
        <v>6260.9299457121315</v>
      </c>
      <c r="M52" s="60">
        <f t="shared" si="20"/>
        <v>919.32595696861813</v>
      </c>
      <c r="N52" s="60">
        <f t="shared" si="21"/>
        <v>580.96293113989123</v>
      </c>
      <c r="O52" s="60">
        <f t="shared" si="22"/>
        <v>427.74193831178792</v>
      </c>
      <c r="P52" s="5">
        <f t="shared" si="27"/>
        <v>4263960.5574587379</v>
      </c>
      <c r="Q52" s="5">
        <f t="shared" si="28"/>
        <v>681.04268765680081</v>
      </c>
      <c r="R52" s="60">
        <f t="shared" si="16"/>
        <v>385.74400000000003</v>
      </c>
      <c r="S52" s="42">
        <f t="shared" si="6"/>
        <v>14.074182392081905</v>
      </c>
      <c r="T52" s="42">
        <f t="shared" si="17"/>
        <v>14.074182392081905</v>
      </c>
      <c r="U52" s="6">
        <f t="shared" si="29"/>
        <v>19.750237942047224</v>
      </c>
      <c r="V52" s="6">
        <f t="shared" si="9"/>
        <v>433.64260272621112</v>
      </c>
      <c r="W52" s="42">
        <f t="shared" si="10"/>
        <v>247.40008493058968</v>
      </c>
      <c r="X52" s="42">
        <f t="shared" si="30"/>
        <v>1548954.6003136537</v>
      </c>
      <c r="Y52" s="42">
        <f>NPV(B$2,X$4:X52)</f>
        <v>12467315.040192015</v>
      </c>
    </row>
    <row r="53" spans="1:25" x14ac:dyDescent="0.25">
      <c r="A53" s="62" t="s">
        <v>22</v>
      </c>
      <c r="B53" s="71" t="s">
        <v>24</v>
      </c>
      <c r="C53" s="71" t="s">
        <v>25</v>
      </c>
      <c r="D53" s="131" t="s">
        <v>95</v>
      </c>
      <c r="E53" s="131" t="s">
        <v>61</v>
      </c>
      <c r="H53" s="8">
        <f t="shared" si="12"/>
        <v>2054</v>
      </c>
      <c r="I53" s="4">
        <f t="shared" si="37"/>
        <v>2225.2952384790215</v>
      </c>
      <c r="J53" s="4">
        <f t="shared" si="37"/>
        <v>5407.218273457288</v>
      </c>
      <c r="K53" s="4">
        <f t="shared" si="37"/>
        <v>0</v>
      </c>
      <c r="L53" s="4">
        <f t="shared" si="18"/>
        <v>7632.5135119363094</v>
      </c>
      <c r="M53" s="60">
        <f t="shared" si="20"/>
        <v>923.92258675346113</v>
      </c>
      <c r="N53" s="60">
        <f t="shared" si="21"/>
        <v>583.86774579559062</v>
      </c>
      <c r="O53" s="60">
        <f t="shared" si="22"/>
        <v>429.88064800334683</v>
      </c>
      <c r="P53" s="5">
        <f t="shared" si="27"/>
        <v>5213100.8773739301</v>
      </c>
      <c r="Q53" s="5">
        <f t="shared" si="28"/>
        <v>683.01233521844188</v>
      </c>
      <c r="R53" s="60">
        <f t="shared" si="16"/>
        <v>385.74400000000003</v>
      </c>
      <c r="S53" s="42">
        <f t="shared" si="6"/>
        <v>11.545013298986651</v>
      </c>
      <c r="T53" s="42">
        <f t="shared" si="17"/>
        <v>11.54501329898665</v>
      </c>
      <c r="U53" s="6">
        <f t="shared" si="29"/>
        <v>19.807357721334814</v>
      </c>
      <c r="V53" s="6">
        <f t="shared" si="9"/>
        <v>428.64138431930814</v>
      </c>
      <c r="W53" s="42">
        <f t="shared" si="10"/>
        <v>254.37095089913373</v>
      </c>
      <c r="X53" s="42">
        <f t="shared" si="30"/>
        <v>1941489.7197817257</v>
      </c>
      <c r="Y53" s="42">
        <f>NPV(B$2,X$4:X53)</f>
        <v>12533224.266110951</v>
      </c>
    </row>
    <row r="54" spans="1:25" x14ac:dyDescent="0.25">
      <c r="A54" s="59">
        <v>2004</v>
      </c>
      <c r="B54" s="55">
        <f>A54</f>
        <v>2004</v>
      </c>
      <c r="C54" s="55">
        <v>2008</v>
      </c>
      <c r="D54" s="152" t="s">
        <v>14</v>
      </c>
      <c r="E54" s="59">
        <v>40710307.017550342</v>
      </c>
      <c r="H54" s="8">
        <f t="shared" si="12"/>
        <v>2055</v>
      </c>
      <c r="I54" s="4">
        <f t="shared" si="37"/>
        <v>2225.2952384790215</v>
      </c>
      <c r="J54" s="4">
        <f t="shared" si="37"/>
        <v>5407.218273457288</v>
      </c>
      <c r="K54" s="4">
        <f t="shared" si="37"/>
        <v>0</v>
      </c>
      <c r="L54" s="4">
        <f t="shared" si="18"/>
        <v>7632.5135119363094</v>
      </c>
      <c r="M54" s="60">
        <f t="shared" si="20"/>
        <v>928.54219968722839</v>
      </c>
      <c r="N54" s="60">
        <f t="shared" si="21"/>
        <v>586.78708452456851</v>
      </c>
      <c r="O54" s="60">
        <f t="shared" si="22"/>
        <v>432.03005124336352</v>
      </c>
      <c r="P54" s="5">
        <f t="shared" si="27"/>
        <v>5239166.3817607993</v>
      </c>
      <c r="Q54" s="5">
        <f t="shared" si="28"/>
        <v>686.42739689453413</v>
      </c>
      <c r="R54" s="60">
        <f t="shared" si="16"/>
        <v>385.74400000000003</v>
      </c>
      <c r="S54" s="42">
        <f t="shared" si="6"/>
        <v>11.545013298986651</v>
      </c>
      <c r="T54" s="42">
        <f t="shared" si="17"/>
        <v>11.54501329898665</v>
      </c>
      <c r="U54" s="6">
        <f t="shared" si="29"/>
        <v>19.906394509941489</v>
      </c>
      <c r="V54" s="6">
        <f t="shared" si="9"/>
        <v>428.74042110791481</v>
      </c>
      <c r="W54" s="42">
        <f t="shared" si="10"/>
        <v>257.68697578661931</v>
      </c>
      <c r="X54" s="42">
        <f t="shared" si="30"/>
        <v>1966799.3245413764</v>
      </c>
      <c r="Y54" s="42">
        <f>NPV(B$2,X$4:X54)</f>
        <v>12595624.668253262</v>
      </c>
    </row>
    <row r="55" spans="1:25" x14ac:dyDescent="0.25">
      <c r="A55" s="59">
        <v>2004</v>
      </c>
      <c r="B55" s="55">
        <f t="shared" ref="B55:C59" si="38">IF($A55=$A54,B54,B54+5)</f>
        <v>2004</v>
      </c>
      <c r="C55" s="55">
        <f t="shared" si="38"/>
        <v>2008</v>
      </c>
      <c r="D55" s="152" t="s">
        <v>13</v>
      </c>
      <c r="E55" s="59">
        <v>31440759.064973753</v>
      </c>
      <c r="H55" s="8">
        <f t="shared" si="12"/>
        <v>2056</v>
      </c>
      <c r="I55" s="4">
        <f t="shared" si="37"/>
        <v>2225.2952384790215</v>
      </c>
      <c r="J55" s="4">
        <f t="shared" si="37"/>
        <v>5407.218273457288</v>
      </c>
      <c r="K55" s="4">
        <f t="shared" si="37"/>
        <v>0</v>
      </c>
      <c r="L55" s="4">
        <f t="shared" si="18"/>
        <v>7632.5135119363094</v>
      </c>
      <c r="M55" s="60">
        <f t="shared" si="20"/>
        <v>933.18491068566448</v>
      </c>
      <c r="N55" s="60">
        <f t="shared" si="21"/>
        <v>589.72101994719128</v>
      </c>
      <c r="O55" s="60">
        <f t="shared" si="22"/>
        <v>434.19020149958027</v>
      </c>
      <c r="P55" s="5">
        <f t="shared" si="27"/>
        <v>5265362.2136696028</v>
      </c>
      <c r="Q55" s="5">
        <f t="shared" si="28"/>
        <v>689.85953387900668</v>
      </c>
      <c r="R55" s="60">
        <f t="shared" si="16"/>
        <v>385.74400000000003</v>
      </c>
      <c r="S55" s="42">
        <f t="shared" si="6"/>
        <v>11.545013298986651</v>
      </c>
      <c r="T55" s="42">
        <f t="shared" si="17"/>
        <v>11.54501329898665</v>
      </c>
      <c r="U55" s="6">
        <f t="shared" si="29"/>
        <v>20.005926482491194</v>
      </c>
      <c r="V55" s="6">
        <f t="shared" si="9"/>
        <v>428.83995308046451</v>
      </c>
      <c r="W55" s="42">
        <f t="shared" si="10"/>
        <v>261.01958079854217</v>
      </c>
      <c r="X55" s="42">
        <f t="shared" si="30"/>
        <v>1992235.4773248243</v>
      </c>
      <c r="Y55" s="42">
        <f>NPV(B$2,X$4:X55)</f>
        <v>12654697.015783591</v>
      </c>
    </row>
    <row r="56" spans="1:25" x14ac:dyDescent="0.25">
      <c r="A56" s="59">
        <v>2004</v>
      </c>
      <c r="B56" s="55">
        <f t="shared" si="38"/>
        <v>2004</v>
      </c>
      <c r="C56" s="55">
        <f t="shared" si="38"/>
        <v>2008</v>
      </c>
      <c r="D56" s="152" t="s">
        <v>96</v>
      </c>
      <c r="E56" s="59">
        <v>1046444.3988375906</v>
      </c>
      <c r="F56" s="84"/>
      <c r="H56" s="8">
        <f t="shared" si="12"/>
        <v>2057</v>
      </c>
      <c r="I56" s="4">
        <f t="shared" si="37"/>
        <v>2225.2952384790215</v>
      </c>
      <c r="J56" s="4">
        <f t="shared" si="37"/>
        <v>5407.218273457288</v>
      </c>
      <c r="K56" s="4">
        <f t="shared" si="37"/>
        <v>0</v>
      </c>
      <c r="L56" s="4">
        <f t="shared" si="18"/>
        <v>7632.5135119363094</v>
      </c>
      <c r="M56" s="60">
        <f t="shared" si="20"/>
        <v>937.8508352390927</v>
      </c>
      <c r="N56" s="60">
        <f t="shared" si="21"/>
        <v>592.66962504692719</v>
      </c>
      <c r="O56" s="60">
        <f t="shared" si="22"/>
        <v>436.36115250707815</v>
      </c>
      <c r="P56" s="5">
        <f t="shared" si="27"/>
        <v>5291689.0247379504</v>
      </c>
      <c r="Q56" s="5">
        <f t="shared" si="28"/>
        <v>693.30883154840171</v>
      </c>
      <c r="R56" s="60">
        <f t="shared" si="16"/>
        <v>385.74400000000003</v>
      </c>
      <c r="S56" s="42">
        <f t="shared" si="6"/>
        <v>11.545013298986651</v>
      </c>
      <c r="T56" s="42">
        <f t="shared" si="17"/>
        <v>11.54501329898665</v>
      </c>
      <c r="U56" s="6">
        <f t="shared" si="29"/>
        <v>20.105956114903648</v>
      </c>
      <c r="V56" s="6">
        <f t="shared" si="9"/>
        <v>428.93998271287694</v>
      </c>
      <c r="W56" s="42">
        <f t="shared" si="10"/>
        <v>264.36884883552477</v>
      </c>
      <c r="X56" s="42">
        <f t="shared" si="30"/>
        <v>2017798.8108721904</v>
      </c>
      <c r="Y56" s="42">
        <f>NPV(B$2,X$4:X56)</f>
        <v>12710613.2151208</v>
      </c>
    </row>
    <row r="57" spans="1:25" x14ac:dyDescent="0.25">
      <c r="A57" s="59">
        <v>2009</v>
      </c>
      <c r="B57" s="55">
        <f t="shared" si="38"/>
        <v>2009</v>
      </c>
      <c r="C57" s="55">
        <f t="shared" si="38"/>
        <v>2013</v>
      </c>
      <c r="D57" s="152" t="s">
        <v>14</v>
      </c>
      <c r="E57" s="59">
        <v>3948823.6423161691</v>
      </c>
      <c r="F57" s="84"/>
      <c r="H57" s="8">
        <f t="shared" si="12"/>
        <v>2058</v>
      </c>
      <c r="I57" s="4">
        <f t="shared" si="37"/>
        <v>2225.2952384790215</v>
      </c>
      <c r="J57" s="4">
        <f t="shared" si="37"/>
        <v>5407.218273457288</v>
      </c>
      <c r="K57" s="4">
        <f t="shared" si="37"/>
        <v>0</v>
      </c>
      <c r="L57" s="4">
        <f t="shared" si="18"/>
        <v>7632.5135119363094</v>
      </c>
      <c r="M57" s="60">
        <f t="shared" si="20"/>
        <v>942.54008941528809</v>
      </c>
      <c r="N57" s="60">
        <f t="shared" si="21"/>
        <v>595.63297317216177</v>
      </c>
      <c r="O57" s="60">
        <f t="shared" si="22"/>
        <v>438.54295826961351</v>
      </c>
      <c r="P57" s="5">
        <f t="shared" si="27"/>
        <v>5318147.4698616397</v>
      </c>
      <c r="Q57" s="5">
        <f t="shared" si="28"/>
        <v>696.77537570614356</v>
      </c>
      <c r="R57" s="60">
        <f t="shared" si="16"/>
        <v>385.74400000000003</v>
      </c>
      <c r="S57" s="42">
        <f t="shared" si="6"/>
        <v>11.545013298986651</v>
      </c>
      <c r="T57" s="42">
        <f t="shared" si="17"/>
        <v>11.54501329898665</v>
      </c>
      <c r="U57" s="6">
        <f t="shared" si="29"/>
        <v>20.206485895478163</v>
      </c>
      <c r="V57" s="6">
        <f t="shared" si="9"/>
        <v>429.0405124934515</v>
      </c>
      <c r="W57" s="42">
        <f t="shared" si="10"/>
        <v>267.73486321269206</v>
      </c>
      <c r="X57" s="42">
        <f t="shared" si="30"/>
        <v>2043489.9610872916</v>
      </c>
      <c r="Y57" s="42">
        <f>NPV(B$2,X$4:X57)</f>
        <v>12763536.709731769</v>
      </c>
    </row>
    <row r="58" spans="1:25" x14ac:dyDescent="0.25">
      <c r="A58" s="59">
        <v>2009</v>
      </c>
      <c r="B58" s="55">
        <f t="shared" si="38"/>
        <v>2009</v>
      </c>
      <c r="C58" s="55">
        <f t="shared" si="38"/>
        <v>2013</v>
      </c>
      <c r="D58" s="152" t="s">
        <v>13</v>
      </c>
      <c r="E58" s="59">
        <v>1126379.1944310407</v>
      </c>
      <c r="F58" s="84"/>
      <c r="H58" s="8">
        <f t="shared" si="12"/>
        <v>2059</v>
      </c>
      <c r="I58" s="4">
        <f t="shared" si="37"/>
        <v>1396.4168682982031</v>
      </c>
      <c r="J58" s="4">
        <f t="shared" si="37"/>
        <v>3765.8934613223792</v>
      </c>
      <c r="K58" s="4">
        <f t="shared" si="37"/>
        <v>0</v>
      </c>
      <c r="L58" s="4">
        <f t="shared" si="18"/>
        <v>5162.3103296205827</v>
      </c>
      <c r="M58" s="60">
        <f t="shared" si="20"/>
        <v>947.25278986236447</v>
      </c>
      <c r="N58" s="60">
        <f t="shared" si="21"/>
        <v>598.61113803802255</v>
      </c>
      <c r="O58" s="60">
        <f t="shared" si="22"/>
        <v>440.73567306096152</v>
      </c>
      <c r="P58" s="5">
        <f t="shared" si="27"/>
        <v>3577065.5449184761</v>
      </c>
      <c r="Q58" s="5">
        <f t="shared" si="28"/>
        <v>692.91951016462463</v>
      </c>
      <c r="R58" s="60">
        <f t="shared" si="16"/>
        <v>385.74400000000003</v>
      </c>
      <c r="S58" s="42">
        <f t="shared" si="6"/>
        <v>17.069386451720042</v>
      </c>
      <c r="T58" s="42">
        <f t="shared" si="17"/>
        <v>17.069386451720042</v>
      </c>
      <c r="U58" s="6">
        <f t="shared" si="29"/>
        <v>20.094665794774116</v>
      </c>
      <c r="V58" s="6">
        <f t="shared" si="9"/>
        <v>439.97743869821426</v>
      </c>
      <c r="W58" s="42">
        <f t="shared" si="10"/>
        <v>252.94207146641037</v>
      </c>
      <c r="X58" s="42">
        <f t="shared" si="30"/>
        <v>1305765.4683266778</v>
      </c>
      <c r="Y58" s="42">
        <f>NPV(B$2,X$4:X58)</f>
        <v>12795141.827036405</v>
      </c>
    </row>
    <row r="59" spans="1:25" x14ac:dyDescent="0.25">
      <c r="A59" s="59">
        <v>2009</v>
      </c>
      <c r="B59" s="55">
        <f t="shared" si="38"/>
        <v>2009</v>
      </c>
      <c r="C59" s="55">
        <f t="shared" si="38"/>
        <v>2013</v>
      </c>
      <c r="D59" s="152" t="s">
        <v>96</v>
      </c>
      <c r="E59" s="59">
        <v>154841.37945744084</v>
      </c>
      <c r="F59" s="84"/>
      <c r="H59" s="8">
        <f t="shared" si="12"/>
        <v>2060</v>
      </c>
      <c r="I59" s="4">
        <f t="shared" si="37"/>
        <v>1396.4168682982031</v>
      </c>
      <c r="J59" s="4">
        <f t="shared" si="37"/>
        <v>3765.8934613223792</v>
      </c>
      <c r="K59" s="4">
        <f t="shared" si="37"/>
        <v>0</v>
      </c>
      <c r="L59" s="4">
        <f t="shared" si="18"/>
        <v>5162.3103296205827</v>
      </c>
      <c r="M59" s="60">
        <f t="shared" si="20"/>
        <v>951.98905381167617</v>
      </c>
      <c r="N59" s="60">
        <f t="shared" si="21"/>
        <v>601.60419372821264</v>
      </c>
      <c r="O59" s="60">
        <f t="shared" si="22"/>
        <v>442.93935142626628</v>
      </c>
      <c r="P59" s="5">
        <f t="shared" si="27"/>
        <v>3594950.872643068</v>
      </c>
      <c r="Q59" s="5">
        <f t="shared" si="28"/>
        <v>696.38410771544761</v>
      </c>
      <c r="R59" s="60">
        <f t="shared" si="16"/>
        <v>385.74400000000003</v>
      </c>
      <c r="S59" s="42">
        <f t="shared" si="6"/>
        <v>17.069386451720042</v>
      </c>
      <c r="T59" s="42">
        <f t="shared" si="17"/>
        <v>17.069386451720042</v>
      </c>
      <c r="U59" s="6">
        <f t="shared" si="29"/>
        <v>20.195139123747982</v>
      </c>
      <c r="V59" s="6">
        <f t="shared" si="9"/>
        <v>440.07791202718812</v>
      </c>
      <c r="W59" s="42">
        <f t="shared" si="10"/>
        <v>256.30619568825949</v>
      </c>
      <c r="X59" s="42">
        <f t="shared" si="30"/>
        <v>1323132.1215472564</v>
      </c>
      <c r="Y59" s="42">
        <f>NPV(B$2,X$4:X59)</f>
        <v>12825072.167876564</v>
      </c>
    </row>
    <row r="60" spans="1:25" x14ac:dyDescent="0.25">
      <c r="A60" s="59">
        <v>2014</v>
      </c>
      <c r="B60" s="55">
        <f t="shared" ref="B60:B122" si="39">IF($A60=$A59,B59,B59+5)</f>
        <v>2014</v>
      </c>
      <c r="C60" s="55">
        <f t="shared" ref="C60:C122" si="40">IF($A60=$A59,C59,C59+5)</f>
        <v>2018</v>
      </c>
      <c r="D60" s="152" t="s">
        <v>14</v>
      </c>
      <c r="E60" s="59">
        <v>18535128.636198174</v>
      </c>
      <c r="F60" s="84"/>
      <c r="H60" s="8">
        <f t="shared" si="12"/>
        <v>2061</v>
      </c>
      <c r="I60" s="4">
        <f t="shared" si="37"/>
        <v>1396.4168682982031</v>
      </c>
      <c r="J60" s="4">
        <f t="shared" si="37"/>
        <v>3765.8934613223792</v>
      </c>
      <c r="K60" s="4">
        <f t="shared" si="37"/>
        <v>0</v>
      </c>
      <c r="L60" s="4">
        <f t="shared" si="18"/>
        <v>5162.3103296205827</v>
      </c>
      <c r="M60" s="60">
        <f t="shared" si="20"/>
        <v>956.74899908073451</v>
      </c>
      <c r="N60" s="60">
        <f t="shared" si="21"/>
        <v>604.61221469685358</v>
      </c>
      <c r="O60" s="60">
        <f t="shared" si="22"/>
        <v>445.15404818339755</v>
      </c>
      <c r="P60" s="5">
        <f t="shared" si="27"/>
        <v>3612925.627006283</v>
      </c>
      <c r="Q60" s="5">
        <f t="shared" si="28"/>
        <v>699.86602825402485</v>
      </c>
      <c r="R60" s="60">
        <f t="shared" si="16"/>
        <v>385.74400000000003</v>
      </c>
      <c r="S60" s="42">
        <f t="shared" si="6"/>
        <v>17.069386451720042</v>
      </c>
      <c r="T60" s="42">
        <f t="shared" si="17"/>
        <v>17.069386451720042</v>
      </c>
      <c r="U60" s="6">
        <f t="shared" si="29"/>
        <v>20.296114819366721</v>
      </c>
      <c r="V60" s="6">
        <f t="shared" si="9"/>
        <v>440.17888772280685</v>
      </c>
      <c r="W60" s="42">
        <f t="shared" si="10"/>
        <v>259.68714053121801</v>
      </c>
      <c r="X60" s="42">
        <f t="shared" si="30"/>
        <v>1340585.6080339386</v>
      </c>
      <c r="Y60" s="42">
        <f>NPV(B$2,X$4:X60)</f>
        <v>12853413.4324676</v>
      </c>
    </row>
    <row r="61" spans="1:25" x14ac:dyDescent="0.25">
      <c r="A61" s="59">
        <v>2014</v>
      </c>
      <c r="B61" s="55">
        <f t="shared" si="39"/>
        <v>2014</v>
      </c>
      <c r="C61" s="55">
        <f t="shared" si="40"/>
        <v>2018</v>
      </c>
      <c r="D61" s="152" t="s">
        <v>13</v>
      </c>
      <c r="E61" s="59">
        <v>10175094.705150727</v>
      </c>
      <c r="F61" s="84"/>
      <c r="H61" s="8">
        <f t="shared" si="12"/>
        <v>2062</v>
      </c>
      <c r="I61" s="4">
        <f t="shared" si="37"/>
        <v>1396.4168682982031</v>
      </c>
      <c r="J61" s="4">
        <f t="shared" si="37"/>
        <v>3765.8934613223792</v>
      </c>
      <c r="K61" s="4">
        <f t="shared" si="37"/>
        <v>0</v>
      </c>
      <c r="L61" s="4">
        <f t="shared" si="18"/>
        <v>5162.3103296205827</v>
      </c>
      <c r="M61" s="60">
        <f t="shared" si="20"/>
        <v>961.5327440761381</v>
      </c>
      <c r="N61" s="60">
        <f t="shared" si="21"/>
        <v>607.63527577033778</v>
      </c>
      <c r="O61" s="60">
        <f t="shared" si="22"/>
        <v>447.37981842431446</v>
      </c>
      <c r="P61" s="5">
        <f t="shared" si="27"/>
        <v>3630990.2551413141</v>
      </c>
      <c r="Q61" s="5">
        <f t="shared" si="28"/>
        <v>703.36535839529495</v>
      </c>
      <c r="R61" s="60">
        <f t="shared" si="16"/>
        <v>385.74400000000003</v>
      </c>
      <c r="S61" s="42">
        <f t="shared" si="6"/>
        <v>17.069386451720042</v>
      </c>
      <c r="T61" s="42">
        <f t="shared" si="17"/>
        <v>17.069386451720042</v>
      </c>
      <c r="U61" s="6">
        <f t="shared" si="29"/>
        <v>20.397595393463551</v>
      </c>
      <c r="V61" s="6">
        <f t="shared" si="9"/>
        <v>440.2803682969037</v>
      </c>
      <c r="W61" s="42">
        <f t="shared" si="10"/>
        <v>263.08499009839124</v>
      </c>
      <c r="X61" s="42">
        <f t="shared" si="30"/>
        <v>1358126.3619530539</v>
      </c>
      <c r="Y61" s="42">
        <f>NPV(B$2,X$4:X61)</f>
        <v>12880247.164187422</v>
      </c>
    </row>
    <row r="62" spans="1:25" x14ac:dyDescent="0.25">
      <c r="A62" s="59">
        <v>2014</v>
      </c>
      <c r="B62" s="55">
        <f t="shared" si="39"/>
        <v>2014</v>
      </c>
      <c r="C62" s="55">
        <f t="shared" si="40"/>
        <v>2018</v>
      </c>
      <c r="D62" s="152" t="s">
        <v>96</v>
      </c>
      <c r="E62" s="59">
        <v>786000.43743635539</v>
      </c>
      <c r="F62" s="84"/>
      <c r="H62" s="8">
        <f t="shared" si="12"/>
        <v>2063</v>
      </c>
      <c r="I62" s="4">
        <f t="shared" si="37"/>
        <v>1396.4168682982031</v>
      </c>
      <c r="J62" s="4">
        <f t="shared" si="37"/>
        <v>3765.8934613223792</v>
      </c>
      <c r="K62" s="4">
        <f t="shared" si="37"/>
        <v>0</v>
      </c>
      <c r="L62" s="4">
        <f t="shared" si="18"/>
        <v>5162.3103296205827</v>
      </c>
      <c r="M62" s="60">
        <f t="shared" si="20"/>
        <v>966.34040779651866</v>
      </c>
      <c r="N62" s="60">
        <f t="shared" si="21"/>
        <v>610.67345214918942</v>
      </c>
      <c r="O62" s="60">
        <f t="shared" si="22"/>
        <v>449.61671751643598</v>
      </c>
      <c r="P62" s="5">
        <f t="shared" si="27"/>
        <v>3649145.2064170204</v>
      </c>
      <c r="Q62" s="5">
        <f t="shared" si="28"/>
        <v>706.88218518727138</v>
      </c>
      <c r="R62" s="60">
        <f t="shared" si="16"/>
        <v>385.74400000000003</v>
      </c>
      <c r="S62" s="42">
        <f t="shared" si="6"/>
        <v>17.069386451720042</v>
      </c>
      <c r="T62" s="42">
        <f t="shared" si="17"/>
        <v>17.069386451720042</v>
      </c>
      <c r="U62" s="6">
        <f t="shared" si="29"/>
        <v>20.499583370430869</v>
      </c>
      <c r="V62" s="6">
        <f t="shared" si="9"/>
        <v>440.38235627387098</v>
      </c>
      <c r="W62" s="42">
        <f t="shared" si="10"/>
        <v>266.49982891340039</v>
      </c>
      <c r="X62" s="42">
        <f t="shared" si="30"/>
        <v>1375754.819641765</v>
      </c>
      <c r="Y62" s="42">
        <f>NPV(B$2,X$4:X62)</f>
        <v>12905650.933452092</v>
      </c>
    </row>
    <row r="63" spans="1:25" x14ac:dyDescent="0.25">
      <c r="A63" s="59">
        <v>2019</v>
      </c>
      <c r="B63" s="55">
        <f t="shared" si="39"/>
        <v>2019</v>
      </c>
      <c r="C63" s="55">
        <f t="shared" si="40"/>
        <v>2023</v>
      </c>
      <c r="D63" s="152" t="s">
        <v>14</v>
      </c>
      <c r="E63" s="59">
        <v>11236225.630901253</v>
      </c>
      <c r="F63" s="84"/>
      <c r="H63" s="8">
        <f t="shared" si="12"/>
        <v>2064</v>
      </c>
      <c r="I63" s="4">
        <f t="shared" ref="I63:K82" si="41">SUMIFS($E$54:$E$122,$D$54:$D$122,I$2,$B$54:$B$122,"&lt;="&amp;$H63,$C$54:$C$122,"&gt;="&amp;$H63)/1000/5</f>
        <v>3028.0519577945124</v>
      </c>
      <c r="J63" s="4">
        <f t="shared" si="41"/>
        <v>6945.337672931465</v>
      </c>
      <c r="K63" s="4">
        <f t="shared" si="41"/>
        <v>0</v>
      </c>
      <c r="L63" s="4">
        <f t="shared" si="18"/>
        <v>9973.3896307259783</v>
      </c>
      <c r="M63" s="60">
        <f t="shared" si="20"/>
        <v>971.17210983550115</v>
      </c>
      <c r="N63" s="60">
        <f t="shared" si="21"/>
        <v>613.72681940993527</v>
      </c>
      <c r="O63" s="60">
        <f t="shared" si="22"/>
        <v>451.86480110401811</v>
      </c>
      <c r="P63" s="5">
        <f t="shared" si="27"/>
        <v>7203299.6082790457</v>
      </c>
      <c r="Q63" s="5">
        <f t="shared" si="28"/>
        <v>722.25189980416985</v>
      </c>
      <c r="R63" s="60">
        <f t="shared" si="16"/>
        <v>385.74400000000003</v>
      </c>
      <c r="S63" s="42">
        <f t="shared" si="6"/>
        <v>8.8352579476618534</v>
      </c>
      <c r="T63" s="42">
        <f t="shared" si="17"/>
        <v>8.8352579476618516</v>
      </c>
      <c r="U63" s="6">
        <f t="shared" si="29"/>
        <v>20.945305094320926</v>
      </c>
      <c r="V63" s="6">
        <f t="shared" si="9"/>
        <v>424.35982098964462</v>
      </c>
      <c r="W63" s="42">
        <f t="shared" si="10"/>
        <v>297.89207881452523</v>
      </c>
      <c r="X63" s="42">
        <f t="shared" si="30"/>
        <v>2970993.7699241918</v>
      </c>
      <c r="Y63" s="42">
        <f>NPV(B$2,X$4:X63)</f>
        <v>12956922.32208159</v>
      </c>
    </row>
    <row r="64" spans="1:25" x14ac:dyDescent="0.25">
      <c r="A64" s="59">
        <v>2019</v>
      </c>
      <c r="B64" s="55">
        <f t="shared" si="39"/>
        <v>2019</v>
      </c>
      <c r="C64" s="55">
        <f t="shared" si="40"/>
        <v>2023</v>
      </c>
      <c r="D64" s="152" t="s">
        <v>13</v>
      </c>
      <c r="E64" s="59">
        <v>4019703.6754830838</v>
      </c>
      <c r="F64" s="84"/>
      <c r="H64" s="8">
        <f t="shared" si="12"/>
        <v>2065</v>
      </c>
      <c r="I64" s="4">
        <f t="shared" si="41"/>
        <v>3028.0519577945124</v>
      </c>
      <c r="J64" s="4">
        <f t="shared" si="41"/>
        <v>6945.337672931465</v>
      </c>
      <c r="K64" s="4">
        <f t="shared" si="41"/>
        <v>0</v>
      </c>
      <c r="L64" s="4">
        <f t="shared" si="18"/>
        <v>9973.3896307259783</v>
      </c>
      <c r="M64" s="60">
        <f t="shared" si="20"/>
        <v>976.0279703846785</v>
      </c>
      <c r="N64" s="60">
        <f t="shared" si="21"/>
        <v>616.79545350698493</v>
      </c>
      <c r="O64" s="60">
        <f t="shared" si="22"/>
        <v>454.12412510953817</v>
      </c>
      <c r="P64" s="5">
        <f t="shared" si="27"/>
        <v>7239316.1063204408</v>
      </c>
      <c r="Q64" s="5">
        <f t="shared" si="28"/>
        <v>725.86315930319063</v>
      </c>
      <c r="R64" s="60">
        <f t="shared" si="16"/>
        <v>385.74400000000003</v>
      </c>
      <c r="S64" s="42">
        <f t="shared" si="6"/>
        <v>8.8352579476618534</v>
      </c>
      <c r="T64" s="42">
        <f t="shared" si="17"/>
        <v>8.8352579476618516</v>
      </c>
      <c r="U64" s="6">
        <f t="shared" si="29"/>
        <v>21.050031619792531</v>
      </c>
      <c r="V64" s="6">
        <f t="shared" si="9"/>
        <v>424.46454751511624</v>
      </c>
      <c r="W64" s="42">
        <f t="shared" si="10"/>
        <v>301.39861178807439</v>
      </c>
      <c r="X64" s="42">
        <f t="shared" si="30"/>
        <v>3005965.7895223857</v>
      </c>
      <c r="Y64" s="42">
        <f>NPV(B$2,X$4:X64)</f>
        <v>13005403.548197664</v>
      </c>
    </row>
    <row r="65" spans="1:25" x14ac:dyDescent="0.25">
      <c r="A65" s="59">
        <v>2019</v>
      </c>
      <c r="B65" s="55">
        <f t="shared" si="39"/>
        <v>2019</v>
      </c>
      <c r="C65" s="55">
        <f t="shared" si="40"/>
        <v>2023</v>
      </c>
      <c r="D65" s="152" t="s">
        <v>96</v>
      </c>
      <c r="E65" s="59">
        <v>340193.4651492741</v>
      </c>
      <c r="F65" s="84"/>
      <c r="H65" s="8">
        <f t="shared" si="12"/>
        <v>2066</v>
      </c>
      <c r="I65" s="4">
        <f t="shared" si="41"/>
        <v>3028.0519577945124</v>
      </c>
      <c r="J65" s="4">
        <f t="shared" si="41"/>
        <v>6945.337672931465</v>
      </c>
      <c r="K65" s="4">
        <f t="shared" si="41"/>
        <v>0</v>
      </c>
      <c r="L65" s="4">
        <f t="shared" si="18"/>
        <v>9973.3896307259783</v>
      </c>
      <c r="M65" s="60">
        <f t="shared" si="20"/>
        <v>980.90811023660183</v>
      </c>
      <c r="N65" s="60">
        <f t="shared" si="21"/>
        <v>619.87943077451973</v>
      </c>
      <c r="O65" s="60">
        <f t="shared" si="22"/>
        <v>456.39474573508579</v>
      </c>
      <c r="P65" s="5">
        <f t="shared" si="27"/>
        <v>7275512.6868520416</v>
      </c>
      <c r="Q65" s="5">
        <f t="shared" si="28"/>
        <v>729.49247509970644</v>
      </c>
      <c r="R65" s="60">
        <f t="shared" si="16"/>
        <v>385.74400000000003</v>
      </c>
      <c r="S65" s="42">
        <f t="shared" si="6"/>
        <v>8.8352579476618534</v>
      </c>
      <c r="T65" s="42">
        <f t="shared" si="17"/>
        <v>8.8352579476618516</v>
      </c>
      <c r="U65" s="6">
        <f t="shared" si="29"/>
        <v>21.155281777891489</v>
      </c>
      <c r="V65" s="6">
        <f t="shared" si="9"/>
        <v>424.56979767321519</v>
      </c>
      <c r="W65" s="42">
        <f t="shared" si="10"/>
        <v>304.92267742649125</v>
      </c>
      <c r="X65" s="42">
        <f t="shared" si="30"/>
        <v>3041112.66921857</v>
      </c>
      <c r="Y65" s="42">
        <f>NPV(B$2,X$4:X65)</f>
        <v>13051242.881655147</v>
      </c>
    </row>
    <row r="66" spans="1:25" x14ac:dyDescent="0.25">
      <c r="A66" s="59">
        <v>2024</v>
      </c>
      <c r="B66" s="55">
        <f t="shared" si="39"/>
        <v>2024</v>
      </c>
      <c r="C66" s="55">
        <f t="shared" si="40"/>
        <v>2028</v>
      </c>
      <c r="D66" s="152" t="s">
        <v>14</v>
      </c>
      <c r="E66" s="59">
        <v>20691650.483435743</v>
      </c>
      <c r="F66" s="84"/>
      <c r="H66" s="8">
        <f t="shared" si="12"/>
        <v>2067</v>
      </c>
      <c r="I66" s="4">
        <f t="shared" si="41"/>
        <v>3028.0519577945124</v>
      </c>
      <c r="J66" s="4">
        <f t="shared" si="41"/>
        <v>6945.337672931465</v>
      </c>
      <c r="K66" s="4">
        <f t="shared" si="41"/>
        <v>0</v>
      </c>
      <c r="L66" s="4">
        <f t="shared" si="18"/>
        <v>9973.3896307259783</v>
      </c>
      <c r="M66" s="60">
        <f t="shared" si="20"/>
        <v>985.81265078778472</v>
      </c>
      <c r="N66" s="60">
        <f t="shared" si="21"/>
        <v>622.97882792839232</v>
      </c>
      <c r="O66" s="60">
        <f t="shared" si="22"/>
        <v>458.67671946376117</v>
      </c>
      <c r="P66" s="5">
        <f t="shared" si="27"/>
        <v>7311890.2502863016</v>
      </c>
      <c r="Q66" s="5">
        <f t="shared" si="28"/>
        <v>733.13993747520499</v>
      </c>
      <c r="R66" s="60">
        <f t="shared" si="16"/>
        <v>385.74400000000003</v>
      </c>
      <c r="S66" s="42">
        <f t="shared" si="6"/>
        <v>8.8352579476618534</v>
      </c>
      <c r="T66" s="42">
        <f t="shared" si="17"/>
        <v>8.8352579476618516</v>
      </c>
      <c r="U66" s="6">
        <f t="shared" si="29"/>
        <v>21.261058186780946</v>
      </c>
      <c r="V66" s="6">
        <f t="shared" si="9"/>
        <v>424.67557408210462</v>
      </c>
      <c r="W66" s="42">
        <f t="shared" si="10"/>
        <v>308.46436339310037</v>
      </c>
      <c r="X66" s="42">
        <f t="shared" si="30"/>
        <v>3076435.2833132371</v>
      </c>
      <c r="Y66" s="42">
        <f>NPV(B$2,X$4:X66)</f>
        <v>13094580.973878361</v>
      </c>
    </row>
    <row r="67" spans="1:25" x14ac:dyDescent="0.25">
      <c r="A67" s="59">
        <v>2024</v>
      </c>
      <c r="B67" s="55">
        <f t="shared" si="39"/>
        <v>2024</v>
      </c>
      <c r="C67" s="55">
        <f t="shared" si="40"/>
        <v>2028</v>
      </c>
      <c r="D67" s="152" t="s">
        <v>13</v>
      </c>
      <c r="E67" s="59">
        <v>9637925.6183326449</v>
      </c>
      <c r="F67" s="84"/>
      <c r="H67" s="8">
        <f t="shared" si="12"/>
        <v>2068</v>
      </c>
      <c r="I67" s="4">
        <f t="shared" si="41"/>
        <v>3028.0519577945124</v>
      </c>
      <c r="J67" s="4">
        <f t="shared" si="41"/>
        <v>6945.337672931465</v>
      </c>
      <c r="K67" s="4">
        <f t="shared" si="41"/>
        <v>0</v>
      </c>
      <c r="L67" s="4">
        <f t="shared" si="18"/>
        <v>9973.3896307259783</v>
      </c>
      <c r="M67" s="60">
        <f t="shared" si="20"/>
        <v>990.74171404172353</v>
      </c>
      <c r="N67" s="60">
        <f t="shared" si="21"/>
        <v>626.09372206803425</v>
      </c>
      <c r="O67" s="60">
        <f t="shared" si="22"/>
        <v>460.97010306107995</v>
      </c>
      <c r="P67" s="5">
        <f t="shared" ref="P67:P98" si="42">I67*M67+J67*N67+K67*O67</f>
        <v>7348449.701537733</v>
      </c>
      <c r="Q67" s="5">
        <f t="shared" ref="Q67:Q98" si="43">P67/L67</f>
        <v>736.80563716258098</v>
      </c>
      <c r="R67" s="60">
        <f t="shared" si="16"/>
        <v>385.74400000000003</v>
      </c>
      <c r="S67" s="42">
        <f t="shared" si="6"/>
        <v>8.8352579476618534</v>
      </c>
      <c r="T67" s="42">
        <f t="shared" si="17"/>
        <v>8.8352579476618516</v>
      </c>
      <c r="U67" s="6">
        <f t="shared" ref="U67:U98" si="44">B$5*(I67*M67+J67*N67+K67*O67)/L67</f>
        <v>21.36736347771485</v>
      </c>
      <c r="V67" s="6">
        <f t="shared" si="9"/>
        <v>424.78187937303852</v>
      </c>
      <c r="W67" s="42">
        <f t="shared" si="10"/>
        <v>312.02375778954246</v>
      </c>
      <c r="X67" s="42">
        <f t="shared" ref="X67:X98" si="45">W67*L67</f>
        <v>3111934.5104783769</v>
      </c>
      <c r="Y67" s="42">
        <f>NPV(B$2,X$4:X67)</f>
        <v>13135551.229818881</v>
      </c>
    </row>
    <row r="68" spans="1:25" x14ac:dyDescent="0.25">
      <c r="A68" s="59">
        <v>2024</v>
      </c>
      <c r="B68" s="55">
        <f t="shared" si="39"/>
        <v>2024</v>
      </c>
      <c r="C68" s="55">
        <f t="shared" si="40"/>
        <v>2028</v>
      </c>
      <c r="D68" s="152" t="s">
        <v>96</v>
      </c>
      <c r="E68" s="59">
        <v>885947.59132189513</v>
      </c>
      <c r="F68" s="84"/>
      <c r="H68" s="8">
        <f t="shared" si="12"/>
        <v>2069</v>
      </c>
      <c r="I68" s="4">
        <f t="shared" si="41"/>
        <v>1348.4441665591673</v>
      </c>
      <c r="J68" s="4">
        <f t="shared" si="41"/>
        <v>3243.5518356440002</v>
      </c>
      <c r="K68" s="4">
        <f t="shared" si="41"/>
        <v>0</v>
      </c>
      <c r="L68" s="4">
        <f t="shared" si="18"/>
        <v>4591.9960022031673</v>
      </c>
      <c r="M68" s="60">
        <f t="shared" si="20"/>
        <v>995.69542261193203</v>
      </c>
      <c r="N68" s="60">
        <f t="shared" si="21"/>
        <v>629.22419067837438</v>
      </c>
      <c r="O68" s="60">
        <f t="shared" si="22"/>
        <v>463.27495357638531</v>
      </c>
      <c r="P68" s="5">
        <f t="shared" si="42"/>
        <v>3383560.9629971762</v>
      </c>
      <c r="Q68" s="5">
        <f t="shared" si="43"/>
        <v>736.83883029815286</v>
      </c>
      <c r="R68" s="60">
        <f t="shared" si="16"/>
        <v>385.74400000000003</v>
      </c>
      <c r="S68" s="42">
        <f t="shared" ref="S68:S110" si="46">SUMIFS(F$27:F$37,B$27:B$37,"&lt;="&amp;$H68,C$27:C$37,"&gt;="&amp;H68)/L68/10</f>
        <v>19.189361218459823</v>
      </c>
      <c r="T68" s="42">
        <f t="shared" si="17"/>
        <v>19.189361218459819</v>
      </c>
      <c r="U68" s="6">
        <f t="shared" si="44"/>
        <v>21.368326078646433</v>
      </c>
      <c r="V68" s="6">
        <f t="shared" ref="V68:V102" si="47">SUM(R68:U68)</f>
        <v>445.49104851556604</v>
      </c>
      <c r="W68" s="42">
        <f t="shared" ref="W68:W102" si="48">Q68-V68</f>
        <v>291.34778178258682</v>
      </c>
      <c r="X68" s="42">
        <f t="shared" si="45"/>
        <v>1337867.8491963996</v>
      </c>
      <c r="Y68" s="42">
        <f>NPV(B$2,X$4:X68)</f>
        <v>13152012.663915176</v>
      </c>
    </row>
    <row r="69" spans="1:25" x14ac:dyDescent="0.25">
      <c r="A69" s="59">
        <v>2029</v>
      </c>
      <c r="B69" s="55">
        <f t="shared" si="39"/>
        <v>2029</v>
      </c>
      <c r="C69" s="55">
        <f t="shared" si="40"/>
        <v>2033</v>
      </c>
      <c r="D69" s="152" t="s">
        <v>14</v>
      </c>
      <c r="E69" s="59">
        <v>7314305.0518079977</v>
      </c>
      <c r="F69" s="84"/>
      <c r="H69" s="8">
        <f t="shared" ref="H69:H95" si="49">H68+1</f>
        <v>2070</v>
      </c>
      <c r="I69" s="4">
        <f t="shared" si="41"/>
        <v>1348.4441665591673</v>
      </c>
      <c r="J69" s="4">
        <f t="shared" si="41"/>
        <v>3243.5518356440002</v>
      </c>
      <c r="K69" s="4">
        <f t="shared" si="41"/>
        <v>0</v>
      </c>
      <c r="L69" s="4">
        <f t="shared" si="18"/>
        <v>4591.9960022031673</v>
      </c>
      <c r="M69" s="60">
        <f t="shared" si="20"/>
        <v>1000.6738997249915</v>
      </c>
      <c r="N69" s="60">
        <f t="shared" si="21"/>
        <v>632.37031163176619</v>
      </c>
      <c r="O69" s="60">
        <f t="shared" si="22"/>
        <v>465.5913283442672</v>
      </c>
      <c r="P69" s="5">
        <f t="shared" si="42"/>
        <v>3400478.7678121617</v>
      </c>
      <c r="Q69" s="5">
        <f t="shared" si="43"/>
        <v>740.52302444964357</v>
      </c>
      <c r="R69" s="60">
        <f t="shared" ref="R69:R114" si="50">R68</f>
        <v>385.74400000000003</v>
      </c>
      <c r="S69" s="42">
        <f t="shared" si="46"/>
        <v>19.189361218459823</v>
      </c>
      <c r="T69" s="42">
        <f t="shared" si="17"/>
        <v>19.189361218459819</v>
      </c>
      <c r="U69" s="6">
        <f t="shared" si="44"/>
        <v>21.475167709039663</v>
      </c>
      <c r="V69" s="6">
        <f t="shared" si="47"/>
        <v>445.5978901459593</v>
      </c>
      <c r="W69" s="42">
        <f t="shared" si="48"/>
        <v>294.92513430368427</v>
      </c>
      <c r="X69" s="42">
        <f t="shared" si="45"/>
        <v>1354295.0376717504</v>
      </c>
      <c r="Y69" s="42">
        <f>NPV(B$2,X$4:X69)</f>
        <v>13167586.082612462</v>
      </c>
    </row>
    <row r="70" spans="1:25" x14ac:dyDescent="0.25">
      <c r="A70" s="59">
        <v>2029</v>
      </c>
      <c r="B70" s="55">
        <f t="shared" si="39"/>
        <v>2029</v>
      </c>
      <c r="C70" s="55">
        <f t="shared" si="40"/>
        <v>2033</v>
      </c>
      <c r="D70" s="152" t="s">
        <v>13</v>
      </c>
      <c r="E70" s="59">
        <v>2844009.664254385</v>
      </c>
      <c r="F70" s="84"/>
      <c r="H70" s="8">
        <f t="shared" si="49"/>
        <v>2071</v>
      </c>
      <c r="I70" s="4">
        <f t="shared" si="41"/>
        <v>1348.4441665591673</v>
      </c>
      <c r="J70" s="4">
        <f t="shared" si="41"/>
        <v>3243.5518356440002</v>
      </c>
      <c r="K70" s="4">
        <f t="shared" si="41"/>
        <v>0</v>
      </c>
      <c r="L70" s="4">
        <f t="shared" si="18"/>
        <v>4591.9960022031673</v>
      </c>
      <c r="M70" s="60">
        <f t="shared" si="20"/>
        <v>1005.6772692236163</v>
      </c>
      <c r="N70" s="60">
        <f t="shared" si="21"/>
        <v>635.53216318992497</v>
      </c>
      <c r="O70" s="60">
        <f t="shared" si="22"/>
        <v>467.9192849859885</v>
      </c>
      <c r="P70" s="5">
        <f t="shared" si="42"/>
        <v>3417481.161651222</v>
      </c>
      <c r="Q70" s="5">
        <f t="shared" si="43"/>
        <v>744.22563957189175</v>
      </c>
      <c r="R70" s="60">
        <f t="shared" si="50"/>
        <v>385.74400000000003</v>
      </c>
      <c r="S70" s="42">
        <f t="shared" si="46"/>
        <v>19.189361218459823</v>
      </c>
      <c r="T70" s="42">
        <f t="shared" si="17"/>
        <v>19.189361218459819</v>
      </c>
      <c r="U70" s="6">
        <f t="shared" si="44"/>
        <v>21.582543547584859</v>
      </c>
      <c r="V70" s="6">
        <f t="shared" si="47"/>
        <v>445.70526598450448</v>
      </c>
      <c r="W70" s="42">
        <f t="shared" si="48"/>
        <v>298.52037358738727</v>
      </c>
      <c r="X70" s="42">
        <f t="shared" si="45"/>
        <v>1370804.3620894784</v>
      </c>
      <c r="Y70" s="42">
        <f>NPV(B$2,X$4:X70)</f>
        <v>13182318.105090797</v>
      </c>
    </row>
    <row r="71" spans="1:25" x14ac:dyDescent="0.25">
      <c r="A71" s="59">
        <v>2029</v>
      </c>
      <c r="B71" s="55">
        <f t="shared" si="39"/>
        <v>2029</v>
      </c>
      <c r="C71" s="55">
        <f t="shared" si="40"/>
        <v>2033</v>
      </c>
      <c r="D71" s="152" t="s">
        <v>96</v>
      </c>
      <c r="E71" s="59">
        <v>297912.81951390964</v>
      </c>
      <c r="F71" s="84"/>
      <c r="H71" s="8">
        <f t="shared" si="49"/>
        <v>2072</v>
      </c>
      <c r="I71" s="4">
        <f t="shared" si="41"/>
        <v>1348.4441665591673</v>
      </c>
      <c r="J71" s="4">
        <f t="shared" si="41"/>
        <v>3243.5518356440002</v>
      </c>
      <c r="K71" s="4">
        <f t="shared" si="41"/>
        <v>0</v>
      </c>
      <c r="L71" s="4">
        <f t="shared" si="18"/>
        <v>4591.9960022031673</v>
      </c>
      <c r="M71" s="60">
        <f t="shared" si="20"/>
        <v>1010.7056555697343</v>
      </c>
      <c r="N71" s="60">
        <f t="shared" si="21"/>
        <v>638.70982400587457</v>
      </c>
      <c r="O71" s="60">
        <f t="shared" si="22"/>
        <v>470.25888141091838</v>
      </c>
      <c r="P71" s="5">
        <f t="shared" si="42"/>
        <v>3434568.567459478</v>
      </c>
      <c r="Q71" s="5">
        <f t="shared" si="43"/>
        <v>747.94676776975109</v>
      </c>
      <c r="R71" s="60">
        <f t="shared" si="50"/>
        <v>385.74400000000003</v>
      </c>
      <c r="S71" s="42">
        <f t="shared" si="46"/>
        <v>19.189361218459823</v>
      </c>
      <c r="T71" s="42">
        <f t="shared" si="17"/>
        <v>19.189361218459819</v>
      </c>
      <c r="U71" s="6">
        <f t="shared" si="44"/>
        <v>21.690456265322783</v>
      </c>
      <c r="V71" s="6">
        <f t="shared" si="47"/>
        <v>445.8131787022424</v>
      </c>
      <c r="W71" s="42">
        <f t="shared" si="48"/>
        <v>302.13358906750869</v>
      </c>
      <c r="X71" s="42">
        <f t="shared" si="45"/>
        <v>1387396.2331292946</v>
      </c>
      <c r="Y71" s="42">
        <f>NPV(B$2,X$4:X71)</f>
        <v>13196252.997774106</v>
      </c>
    </row>
    <row r="72" spans="1:25" x14ac:dyDescent="0.25">
      <c r="A72" s="59">
        <v>2034</v>
      </c>
      <c r="B72" s="55">
        <f t="shared" si="39"/>
        <v>2034</v>
      </c>
      <c r="C72" s="55">
        <f t="shared" si="40"/>
        <v>2038</v>
      </c>
      <c r="D72" s="152" t="s">
        <v>14</v>
      </c>
      <c r="E72" s="59">
        <v>33748082.836006664</v>
      </c>
      <c r="F72" s="84"/>
      <c r="H72" s="8">
        <f t="shared" si="49"/>
        <v>2073</v>
      </c>
      <c r="I72" s="4">
        <f t="shared" si="41"/>
        <v>1348.4441665591673</v>
      </c>
      <c r="J72" s="4">
        <f t="shared" si="41"/>
        <v>3243.5518356440002</v>
      </c>
      <c r="K72" s="4">
        <f t="shared" si="41"/>
        <v>0</v>
      </c>
      <c r="L72" s="4">
        <f t="shared" si="18"/>
        <v>4591.9960022031673</v>
      </c>
      <c r="M72" s="60">
        <f t="shared" si="20"/>
        <v>1015.7591838475829</v>
      </c>
      <c r="N72" s="60">
        <f t="shared" si="21"/>
        <v>641.90337312590384</v>
      </c>
      <c r="O72" s="60">
        <f t="shared" si="22"/>
        <v>472.6101758179729</v>
      </c>
      <c r="P72" s="5">
        <f t="shared" si="42"/>
        <v>3451741.4102967749</v>
      </c>
      <c r="Q72" s="5">
        <f t="shared" si="43"/>
        <v>751.68650160859977</v>
      </c>
      <c r="R72" s="60">
        <f t="shared" si="50"/>
        <v>385.74400000000003</v>
      </c>
      <c r="S72" s="42">
        <f t="shared" si="46"/>
        <v>19.189361218459823</v>
      </c>
      <c r="T72" s="42">
        <f t="shared" si="17"/>
        <v>19.189361218459819</v>
      </c>
      <c r="U72" s="6">
        <f t="shared" si="44"/>
        <v>21.798908546649393</v>
      </c>
      <c r="V72" s="6">
        <f t="shared" si="47"/>
        <v>445.921630983569</v>
      </c>
      <c r="W72" s="42">
        <f t="shared" si="48"/>
        <v>305.76487062503077</v>
      </c>
      <c r="X72" s="42">
        <f t="shared" si="45"/>
        <v>1404071.06352431</v>
      </c>
      <c r="Y72" s="42">
        <f>NPV(B$2,X$4:X72)</f>
        <v>13209432.785901815</v>
      </c>
    </row>
    <row r="73" spans="1:25" x14ac:dyDescent="0.25">
      <c r="A73" s="59">
        <v>2034</v>
      </c>
      <c r="B73" s="55">
        <f t="shared" si="39"/>
        <v>2034</v>
      </c>
      <c r="C73" s="55">
        <f t="shared" si="40"/>
        <v>2038</v>
      </c>
      <c r="D73" s="152" t="s">
        <v>13</v>
      </c>
      <c r="E73" s="59">
        <v>12966361.61435833</v>
      </c>
      <c r="F73" s="84"/>
      <c r="H73" s="8">
        <f t="shared" si="49"/>
        <v>2074</v>
      </c>
      <c r="I73" s="4">
        <f t="shared" si="41"/>
        <v>3261.441963214545</v>
      </c>
      <c r="J73" s="4">
        <f t="shared" si="41"/>
        <v>6165.245253554689</v>
      </c>
      <c r="K73" s="4">
        <f t="shared" si="41"/>
        <v>0</v>
      </c>
      <c r="L73" s="4">
        <f t="shared" si="18"/>
        <v>9426.6872167692345</v>
      </c>
      <c r="M73" s="60">
        <f t="shared" si="20"/>
        <v>1020.8379797668207</v>
      </c>
      <c r="N73" s="60">
        <f t="shared" si="21"/>
        <v>645.11288999153328</v>
      </c>
      <c r="O73" s="60">
        <f t="shared" si="22"/>
        <v>474.97322669706273</v>
      </c>
      <c r="P73" s="5">
        <f t="shared" si="42"/>
        <v>7306683.0078819189</v>
      </c>
      <c r="Q73" s="5">
        <f t="shared" si="43"/>
        <v>775.1061258173479</v>
      </c>
      <c r="R73" s="60">
        <f t="shared" si="50"/>
        <v>385.74400000000003</v>
      </c>
      <c r="S73" s="42">
        <f t="shared" si="46"/>
        <v>7.0107452364002443</v>
      </c>
      <c r="T73" s="42">
        <f t="shared" si="17"/>
        <v>6.2317735434668853</v>
      </c>
      <c r="U73" s="6">
        <f t="shared" si="44"/>
        <v>22.478077648703088</v>
      </c>
      <c r="V73" s="6">
        <f t="shared" si="47"/>
        <v>421.46459642857025</v>
      </c>
      <c r="W73" s="42">
        <f t="shared" si="48"/>
        <v>353.64152938877766</v>
      </c>
      <c r="X73" s="42">
        <f t="shared" si="45"/>
        <v>3333668.0844079121</v>
      </c>
      <c r="Y73" s="42">
        <f>NPV(B$2,X$4:X73)</f>
        <v>13238678.209709566</v>
      </c>
    </row>
    <row r="74" spans="1:25" x14ac:dyDescent="0.25">
      <c r="A74" s="59">
        <v>2034</v>
      </c>
      <c r="B74" s="55">
        <f t="shared" si="39"/>
        <v>2034</v>
      </c>
      <c r="C74" s="55">
        <f t="shared" si="40"/>
        <v>2038</v>
      </c>
      <c r="D74" s="152" t="s">
        <v>96</v>
      </c>
      <c r="E74" s="59">
        <v>1451216.0463899674</v>
      </c>
      <c r="F74" s="84"/>
      <c r="H74" s="8">
        <f t="shared" si="49"/>
        <v>2075</v>
      </c>
      <c r="I74" s="4">
        <f t="shared" si="41"/>
        <v>3261.441963214545</v>
      </c>
      <c r="J74" s="4">
        <f t="shared" si="41"/>
        <v>6165.245253554689</v>
      </c>
      <c r="K74" s="4">
        <f t="shared" si="41"/>
        <v>0</v>
      </c>
      <c r="L74" s="4">
        <f t="shared" si="18"/>
        <v>9426.6872167692345</v>
      </c>
      <c r="M74" s="60">
        <f t="shared" si="20"/>
        <v>1025.9421696656548</v>
      </c>
      <c r="N74" s="60">
        <f t="shared" si="21"/>
        <v>648.33845444149085</v>
      </c>
      <c r="O74" s="60">
        <f t="shared" si="22"/>
        <v>477.34809283054801</v>
      </c>
      <c r="P74" s="5">
        <f t="shared" si="42"/>
        <v>7343216.4229213279</v>
      </c>
      <c r="Q74" s="5">
        <f t="shared" si="43"/>
        <v>778.9816564464345</v>
      </c>
      <c r="R74" s="60">
        <f t="shared" si="50"/>
        <v>385.74400000000003</v>
      </c>
      <c r="S74" s="42">
        <f t="shared" si="46"/>
        <v>7.0107452364002443</v>
      </c>
      <c r="T74" s="42">
        <f t="shared" si="17"/>
        <v>6.2317735434668853</v>
      </c>
      <c r="U74" s="6">
        <f t="shared" si="44"/>
        <v>22.590468036946604</v>
      </c>
      <c r="V74" s="6">
        <f t="shared" si="47"/>
        <v>421.57698681681376</v>
      </c>
      <c r="W74" s="42">
        <f t="shared" si="48"/>
        <v>357.40466962962074</v>
      </c>
      <c r="X74" s="42">
        <f t="shared" si="45"/>
        <v>3369142.0304111773</v>
      </c>
      <c r="Y74" s="42">
        <f>NPV(B$2,X$4:X74)</f>
        <v>13266301.226280125</v>
      </c>
    </row>
    <row r="75" spans="1:25" x14ac:dyDescent="0.25">
      <c r="A75" s="59">
        <v>2039</v>
      </c>
      <c r="B75" s="55">
        <f t="shared" si="39"/>
        <v>2039</v>
      </c>
      <c r="C75" s="55">
        <f t="shared" si="40"/>
        <v>2043</v>
      </c>
      <c r="D75" s="152" t="s">
        <v>14</v>
      </c>
      <c r="E75" s="59">
        <v>21089607.657531917</v>
      </c>
      <c r="F75" s="84"/>
      <c r="H75" s="8">
        <f t="shared" si="49"/>
        <v>2076</v>
      </c>
      <c r="I75" s="4">
        <f t="shared" si="41"/>
        <v>3261.441963214545</v>
      </c>
      <c r="J75" s="4">
        <f t="shared" si="41"/>
        <v>6165.245253554689</v>
      </c>
      <c r="K75" s="4">
        <f t="shared" si="41"/>
        <v>0</v>
      </c>
      <c r="L75" s="4">
        <f t="shared" si="18"/>
        <v>9426.6872167692345</v>
      </c>
      <c r="M75" s="60">
        <f t="shared" si="20"/>
        <v>1031.0718805139829</v>
      </c>
      <c r="N75" s="60">
        <f t="shared" si="21"/>
        <v>651.58014671369824</v>
      </c>
      <c r="O75" s="60">
        <f t="shared" si="22"/>
        <v>479.73483329470071</v>
      </c>
      <c r="P75" s="5">
        <f t="shared" si="42"/>
        <v>7379932.5050359331</v>
      </c>
      <c r="Q75" s="5">
        <f t="shared" si="43"/>
        <v>782.87656472866649</v>
      </c>
      <c r="R75" s="60">
        <f t="shared" si="50"/>
        <v>385.74400000000003</v>
      </c>
      <c r="S75" s="42">
        <f t="shared" si="46"/>
        <v>7.0107452364002443</v>
      </c>
      <c r="T75" s="42">
        <f t="shared" si="17"/>
        <v>6.2317735434668853</v>
      </c>
      <c r="U75" s="6">
        <f t="shared" si="44"/>
        <v>22.70342037713133</v>
      </c>
      <c r="V75" s="6">
        <f t="shared" si="47"/>
        <v>421.68993915699849</v>
      </c>
      <c r="W75" s="42">
        <f t="shared" si="48"/>
        <v>361.186625571668</v>
      </c>
      <c r="X75" s="42">
        <f t="shared" si="45"/>
        <v>3404793.3461444587</v>
      </c>
      <c r="Y75" s="42">
        <f>NPV(B$2,X$4:X75)</f>
        <v>13292390.306263406</v>
      </c>
    </row>
    <row r="76" spans="1:25" x14ac:dyDescent="0.25">
      <c r="A76" s="59">
        <v>2039</v>
      </c>
      <c r="B76" s="55">
        <f t="shared" si="39"/>
        <v>2039</v>
      </c>
      <c r="C76" s="55">
        <f t="shared" si="40"/>
        <v>2043</v>
      </c>
      <c r="D76" s="152" t="s">
        <v>13</v>
      </c>
      <c r="E76" s="59">
        <v>5608555.6643053265</v>
      </c>
      <c r="F76" s="84"/>
      <c r="H76" s="8">
        <f t="shared" si="49"/>
        <v>2077</v>
      </c>
      <c r="I76" s="4">
        <f t="shared" si="41"/>
        <v>3261.441963214545</v>
      </c>
      <c r="J76" s="4">
        <f t="shared" si="41"/>
        <v>6165.245253554689</v>
      </c>
      <c r="K76" s="4">
        <f t="shared" si="41"/>
        <v>0</v>
      </c>
      <c r="L76" s="4">
        <f t="shared" si="18"/>
        <v>9426.6872167692345</v>
      </c>
      <c r="M76" s="60">
        <f t="shared" si="20"/>
        <v>1036.2272399165527</v>
      </c>
      <c r="N76" s="60">
        <f t="shared" si="21"/>
        <v>654.83804744726672</v>
      </c>
      <c r="O76" s="60">
        <f t="shared" si="22"/>
        <v>482.13350746117413</v>
      </c>
      <c r="P76" s="5">
        <f t="shared" si="42"/>
        <v>7416832.167561112</v>
      </c>
      <c r="Q76" s="5">
        <f t="shared" si="43"/>
        <v>786.79094755230983</v>
      </c>
      <c r="R76" s="60">
        <f t="shared" si="50"/>
        <v>385.74400000000003</v>
      </c>
      <c r="S76" s="42">
        <f t="shared" si="46"/>
        <v>7.0107452364002443</v>
      </c>
      <c r="T76" s="42">
        <f t="shared" si="17"/>
        <v>6.2317735434668853</v>
      </c>
      <c r="U76" s="6">
        <f t="shared" si="44"/>
        <v>22.816937479016985</v>
      </c>
      <c r="V76" s="6">
        <f t="shared" si="47"/>
        <v>421.80345625888413</v>
      </c>
      <c r="W76" s="42">
        <f t="shared" si="48"/>
        <v>364.98749129342571</v>
      </c>
      <c r="X76" s="42">
        <f t="shared" si="45"/>
        <v>3440622.9184564082</v>
      </c>
      <c r="Y76" s="42">
        <f>NPV(B$2,X$4:X76)</f>
        <v>13317029.205808097</v>
      </c>
    </row>
    <row r="77" spans="1:25" x14ac:dyDescent="0.25">
      <c r="A77" s="59">
        <v>2039</v>
      </c>
      <c r="B77" s="55">
        <f t="shared" si="39"/>
        <v>2039</v>
      </c>
      <c r="C77" s="55">
        <f t="shared" si="40"/>
        <v>2043</v>
      </c>
      <c r="D77" s="152" t="s">
        <v>96</v>
      </c>
      <c r="E77" s="59">
        <v>729879.11008490564</v>
      </c>
      <c r="F77" s="84"/>
      <c r="H77" s="8">
        <f t="shared" si="49"/>
        <v>2078</v>
      </c>
      <c r="I77" s="4">
        <f t="shared" si="41"/>
        <v>3261.441963214545</v>
      </c>
      <c r="J77" s="4">
        <f t="shared" si="41"/>
        <v>6165.245253554689</v>
      </c>
      <c r="K77" s="4">
        <f t="shared" si="41"/>
        <v>0</v>
      </c>
      <c r="L77" s="4">
        <f t="shared" si="18"/>
        <v>9426.6872167692345</v>
      </c>
      <c r="M77" s="60">
        <f t="shared" si="20"/>
        <v>1041.4083761161353</v>
      </c>
      <c r="N77" s="60">
        <f t="shared" si="21"/>
        <v>658.11223768450293</v>
      </c>
      <c r="O77" s="60">
        <f t="shared" si="22"/>
        <v>484.54417499847995</v>
      </c>
      <c r="P77" s="5">
        <f t="shared" si="42"/>
        <v>7453916.3283989169</v>
      </c>
      <c r="Q77" s="5">
        <f t="shared" si="43"/>
        <v>790.72490229007133</v>
      </c>
      <c r="R77" s="60">
        <f t="shared" si="50"/>
        <v>385.74400000000003</v>
      </c>
      <c r="S77" s="42">
        <f t="shared" si="46"/>
        <v>7.0107452364002443</v>
      </c>
      <c r="T77" s="42">
        <f t="shared" si="17"/>
        <v>6.2317735434668853</v>
      </c>
      <c r="U77" s="6">
        <f t="shared" si="44"/>
        <v>22.931022166412067</v>
      </c>
      <c r="V77" s="6">
        <f t="shared" si="47"/>
        <v>421.91754094627919</v>
      </c>
      <c r="W77" s="42">
        <f t="shared" si="48"/>
        <v>368.80736134379214</v>
      </c>
      <c r="X77" s="42">
        <f t="shared" si="45"/>
        <v>3476631.6386299171</v>
      </c>
      <c r="Y77" s="42">
        <f>NPV(B$2,X$4:X77)</f>
        <v>13340297.20978662</v>
      </c>
    </row>
    <row r="78" spans="1:25" x14ac:dyDescent="0.25">
      <c r="A78" s="59">
        <v>2044</v>
      </c>
      <c r="B78" s="55">
        <f t="shared" si="39"/>
        <v>2044</v>
      </c>
      <c r="C78" s="55">
        <f t="shared" si="40"/>
        <v>2048</v>
      </c>
      <c r="D78" s="152" t="s">
        <v>14</v>
      </c>
      <c r="E78" s="59">
        <v>27987401.958435841</v>
      </c>
      <c r="F78" s="84"/>
      <c r="H78" s="8">
        <f t="shared" si="49"/>
        <v>2079</v>
      </c>
      <c r="I78" s="4">
        <f t="shared" si="41"/>
        <v>1766.67928646</v>
      </c>
      <c r="J78" s="4">
        <f t="shared" si="41"/>
        <v>3811.7218274370762</v>
      </c>
      <c r="K78" s="4">
        <f t="shared" si="41"/>
        <v>0</v>
      </c>
      <c r="L78" s="4">
        <f t="shared" si="18"/>
        <v>5578.4011138970764</v>
      </c>
      <c r="M78" s="60">
        <f t="shared" si="20"/>
        <v>1046.6154179967159</v>
      </c>
      <c r="N78" s="60">
        <f t="shared" si="21"/>
        <v>661.40279887292536</v>
      </c>
      <c r="O78" s="60">
        <f t="shared" si="22"/>
        <v>486.96689587347231</v>
      </c>
      <c r="P78" s="5">
        <f t="shared" si="42"/>
        <v>4370117.2650563763</v>
      </c>
      <c r="Q78" s="5">
        <f t="shared" si="43"/>
        <v>783.39961143514984</v>
      </c>
      <c r="R78" s="60">
        <f t="shared" si="50"/>
        <v>385.74400000000003</v>
      </c>
      <c r="S78" s="42">
        <f t="shared" si="46"/>
        <v>11.847140632350616</v>
      </c>
      <c r="T78" s="42">
        <f t="shared" si="17"/>
        <v>10.53079167320055</v>
      </c>
      <c r="U78" s="6">
        <f t="shared" si="44"/>
        <v>22.718588731619345</v>
      </c>
      <c r="V78" s="6">
        <f t="shared" si="47"/>
        <v>430.8405210371705</v>
      </c>
      <c r="W78" s="42">
        <f t="shared" si="48"/>
        <v>352.55909039797933</v>
      </c>
      <c r="X78" s="42">
        <f t="shared" si="45"/>
        <v>1966716.0225906279</v>
      </c>
      <c r="Y78" s="42">
        <f>NPV(B$2,X$4:X78)</f>
        <v>13352598.717111485</v>
      </c>
    </row>
    <row r="79" spans="1:25" x14ac:dyDescent="0.25">
      <c r="A79" s="59">
        <v>2044</v>
      </c>
      <c r="B79" s="55">
        <f t="shared" si="39"/>
        <v>2044</v>
      </c>
      <c r="C79" s="55">
        <f t="shared" si="40"/>
        <v>2048</v>
      </c>
      <c r="D79" s="152" t="s">
        <v>13</v>
      </c>
      <c r="E79" s="59">
        <v>11491377.964835381</v>
      </c>
      <c r="F79" s="84"/>
      <c r="H79" s="8">
        <f t="shared" si="49"/>
        <v>2080</v>
      </c>
      <c r="I79" s="4">
        <f t="shared" si="41"/>
        <v>1766.67928646</v>
      </c>
      <c r="J79" s="4">
        <f t="shared" si="41"/>
        <v>3811.7218274370762</v>
      </c>
      <c r="K79" s="4">
        <f t="shared" si="41"/>
        <v>0</v>
      </c>
      <c r="L79" s="4">
        <f t="shared" si="18"/>
        <v>5578.4011138970764</v>
      </c>
      <c r="M79" s="60">
        <f t="shared" si="20"/>
        <v>1051.8484950866994</v>
      </c>
      <c r="N79" s="60">
        <f t="shared" si="21"/>
        <v>664.70981286728988</v>
      </c>
      <c r="O79" s="60">
        <f t="shared" si="22"/>
        <v>489.40173035283959</v>
      </c>
      <c r="P79" s="5">
        <f t="shared" si="42"/>
        <v>4391967.8513816576</v>
      </c>
      <c r="Q79" s="5">
        <f t="shared" si="43"/>
        <v>787.31660949232548</v>
      </c>
      <c r="R79" s="60">
        <f t="shared" si="50"/>
        <v>385.74400000000003</v>
      </c>
      <c r="S79" s="42">
        <f t="shared" si="46"/>
        <v>11.847140632350616</v>
      </c>
      <c r="T79" s="42">
        <f t="shared" si="17"/>
        <v>10.53079167320055</v>
      </c>
      <c r="U79" s="6">
        <f t="shared" si="44"/>
        <v>22.83218167527744</v>
      </c>
      <c r="V79" s="6">
        <f t="shared" si="47"/>
        <v>430.95411398082865</v>
      </c>
      <c r="W79" s="42">
        <f t="shared" si="48"/>
        <v>356.36249551149683</v>
      </c>
      <c r="X79" s="42">
        <f t="shared" si="45"/>
        <v>1987932.9419124757</v>
      </c>
      <c r="Y79" s="42">
        <f>NPV(B$2,X$4:X79)</f>
        <v>13364219.479638366</v>
      </c>
    </row>
    <row r="80" spans="1:25" x14ac:dyDescent="0.25">
      <c r="A80" s="59">
        <v>2044</v>
      </c>
      <c r="B80" s="55">
        <f t="shared" si="39"/>
        <v>2044</v>
      </c>
      <c r="C80" s="55">
        <f t="shared" si="40"/>
        <v>2048</v>
      </c>
      <c r="D80" s="152" t="s">
        <v>96</v>
      </c>
      <c r="E80" s="59">
        <v>1195656.2999572544</v>
      </c>
      <c r="F80" s="84"/>
      <c r="H80" s="8">
        <f t="shared" si="49"/>
        <v>2081</v>
      </c>
      <c r="I80" s="4">
        <f t="shared" si="41"/>
        <v>1766.67928646</v>
      </c>
      <c r="J80" s="4">
        <f t="shared" si="41"/>
        <v>3811.7218274370762</v>
      </c>
      <c r="K80" s="4">
        <f t="shared" si="41"/>
        <v>0</v>
      </c>
      <c r="L80" s="4">
        <f t="shared" si="18"/>
        <v>5578.4011138970764</v>
      </c>
      <c r="M80" s="60">
        <f t="shared" si="20"/>
        <v>1057.1077375621328</v>
      </c>
      <c r="N80" s="60">
        <f t="shared" si="21"/>
        <v>668.03336193162625</v>
      </c>
      <c r="O80" s="60">
        <f t="shared" si="22"/>
        <v>491.84873900460371</v>
      </c>
      <c r="P80" s="5">
        <f t="shared" si="42"/>
        <v>4413927.6906385655</v>
      </c>
      <c r="Q80" s="5">
        <f t="shared" si="43"/>
        <v>791.25319253978694</v>
      </c>
      <c r="R80" s="60">
        <f t="shared" si="50"/>
        <v>385.74400000000003</v>
      </c>
      <c r="S80" s="42">
        <f t="shared" si="46"/>
        <v>11.847140632350616</v>
      </c>
      <c r="T80" s="42">
        <f t="shared" ref="T80:T114" si="51">SUMIFS($F$41:$F$51,$B$41:$B$51,"&lt;="&amp;$H80,$C$41:$C$51,"&gt;="&amp;$H80)/$L80/10</f>
        <v>10.53079167320055</v>
      </c>
      <c r="U80" s="6">
        <f t="shared" si="44"/>
        <v>22.946342583653824</v>
      </c>
      <c r="V80" s="6">
        <f t="shared" si="47"/>
        <v>431.06827488920499</v>
      </c>
      <c r="W80" s="42">
        <f t="shared" si="48"/>
        <v>360.18491765058195</v>
      </c>
      <c r="X80" s="42">
        <f t="shared" si="45"/>
        <v>2009255.9458309331</v>
      </c>
      <c r="Y80" s="42">
        <f>NPV(B$2,X$4:X80)</f>
        <v>13375196.497740865</v>
      </c>
    </row>
    <row r="81" spans="1:25" x14ac:dyDescent="0.25">
      <c r="A81" s="59">
        <v>2049</v>
      </c>
      <c r="B81" s="55">
        <f t="shared" si="39"/>
        <v>2049</v>
      </c>
      <c r="C81" s="55">
        <f t="shared" si="40"/>
        <v>2053</v>
      </c>
      <c r="D81" s="152" t="s">
        <v>14</v>
      </c>
      <c r="E81" s="59">
        <v>22045476.936237495</v>
      </c>
      <c r="F81" s="84"/>
      <c r="H81" s="8">
        <f t="shared" si="49"/>
        <v>2082</v>
      </c>
      <c r="I81" s="4">
        <f t="shared" si="41"/>
        <v>1766.67928646</v>
      </c>
      <c r="J81" s="4">
        <f t="shared" si="41"/>
        <v>3811.7218274370762</v>
      </c>
      <c r="K81" s="4">
        <f t="shared" si="41"/>
        <v>0</v>
      </c>
      <c r="L81" s="4">
        <f t="shared" ref="L81:L102" si="52">SUM(I81:K81)</f>
        <v>5578.4011138970764</v>
      </c>
      <c r="M81" s="60">
        <f t="shared" si="20"/>
        <v>1062.3932762499433</v>
      </c>
      <c r="N81" s="60">
        <f t="shared" si="21"/>
        <v>671.3735287412843</v>
      </c>
      <c r="O81" s="60">
        <f t="shared" si="22"/>
        <v>494.30798269962668</v>
      </c>
      <c r="P81" s="5">
        <f t="shared" si="42"/>
        <v>4435997.3290917575</v>
      </c>
      <c r="Q81" s="5">
        <f t="shared" si="43"/>
        <v>795.20945850248575</v>
      </c>
      <c r="R81" s="60">
        <f t="shared" si="50"/>
        <v>385.74400000000003</v>
      </c>
      <c r="S81" s="42">
        <f t="shared" si="46"/>
        <v>11.847140632350616</v>
      </c>
      <c r="T81" s="42">
        <f t="shared" si="51"/>
        <v>10.53079167320055</v>
      </c>
      <c r="U81" s="6">
        <f t="shared" si="44"/>
        <v>23.061074296572087</v>
      </c>
      <c r="V81" s="6">
        <f t="shared" si="47"/>
        <v>431.18300660212327</v>
      </c>
      <c r="W81" s="42">
        <f t="shared" si="48"/>
        <v>364.02645190036247</v>
      </c>
      <c r="X81" s="42">
        <f t="shared" si="45"/>
        <v>2030685.5647689826</v>
      </c>
      <c r="Y81" s="42">
        <f>NPV(B$2,X$4:X81)</f>
        <v>13385564.808900513</v>
      </c>
    </row>
    <row r="82" spans="1:25" x14ac:dyDescent="0.25">
      <c r="A82" s="59">
        <v>2049</v>
      </c>
      <c r="B82" s="55">
        <f t="shared" si="39"/>
        <v>2049</v>
      </c>
      <c r="C82" s="55">
        <f t="shared" si="40"/>
        <v>2053</v>
      </c>
      <c r="D82" s="152" t="s">
        <v>13</v>
      </c>
      <c r="E82" s="59">
        <v>9259172.7923231646</v>
      </c>
      <c r="F82" s="84"/>
      <c r="H82" s="8">
        <f t="shared" si="49"/>
        <v>2083</v>
      </c>
      <c r="I82" s="4">
        <f t="shared" si="41"/>
        <v>1766.67928646</v>
      </c>
      <c r="J82" s="4">
        <f t="shared" si="41"/>
        <v>3811.7218274370762</v>
      </c>
      <c r="K82" s="4">
        <f t="shared" si="41"/>
        <v>0</v>
      </c>
      <c r="L82" s="4">
        <f t="shared" si="52"/>
        <v>5578.4011138970764</v>
      </c>
      <c r="M82" s="60">
        <f t="shared" si="20"/>
        <v>1067.705242631193</v>
      </c>
      <c r="N82" s="60">
        <f t="shared" si="21"/>
        <v>674.73039638499063</v>
      </c>
      <c r="O82" s="60">
        <f t="shared" si="22"/>
        <v>496.77952261312475</v>
      </c>
      <c r="P82" s="5">
        <f t="shared" si="42"/>
        <v>4458177.3157372158</v>
      </c>
      <c r="Q82" s="5">
        <f t="shared" si="43"/>
        <v>799.18550579499811</v>
      </c>
      <c r="R82" s="60">
        <f t="shared" si="50"/>
        <v>385.74400000000003</v>
      </c>
      <c r="S82" s="42">
        <f t="shared" si="46"/>
        <v>11.847140632350616</v>
      </c>
      <c r="T82" s="42">
        <f t="shared" si="51"/>
        <v>10.53079167320055</v>
      </c>
      <c r="U82" s="6">
        <f t="shared" si="44"/>
        <v>23.176379668054945</v>
      </c>
      <c r="V82" s="6">
        <f t="shared" si="47"/>
        <v>431.29831197360613</v>
      </c>
      <c r="W82" s="42">
        <f t="shared" si="48"/>
        <v>367.88719382139197</v>
      </c>
      <c r="X82" s="42">
        <f t="shared" si="45"/>
        <v>2052222.3318017225</v>
      </c>
      <c r="Y82" s="42">
        <f>NPV(B$2,X$4:X82)</f>
        <v>13395357.58831648</v>
      </c>
    </row>
    <row r="83" spans="1:25" x14ac:dyDescent="0.25">
      <c r="A83" s="59">
        <v>2049</v>
      </c>
      <c r="B83" s="55">
        <f t="shared" si="39"/>
        <v>2049</v>
      </c>
      <c r="C83" s="55">
        <f t="shared" si="40"/>
        <v>2053</v>
      </c>
      <c r="D83" s="152" t="s">
        <v>96</v>
      </c>
      <c r="E83" s="59">
        <v>761538.8346285068</v>
      </c>
      <c r="F83" s="84"/>
      <c r="H83" s="8">
        <f t="shared" si="49"/>
        <v>2084</v>
      </c>
      <c r="I83" s="4">
        <f t="shared" ref="I83:K102" si="53">SUMIFS($E$54:$E$122,$D$54:$D$122,I$2,$B$54:$B$122,"&lt;="&amp;$H83,$C$54:$C$122,"&gt;="&amp;$H83)/1000/5</f>
        <v>3722.3469977307082</v>
      </c>
      <c r="J83" s="4">
        <f t="shared" si="53"/>
        <v>5612.8378046848002</v>
      </c>
      <c r="K83" s="4">
        <f t="shared" si="53"/>
        <v>0</v>
      </c>
      <c r="L83" s="4">
        <f t="shared" si="52"/>
        <v>9335.1848024155079</v>
      </c>
      <c r="M83" s="60">
        <f t="shared" si="20"/>
        <v>1073.0437688443487</v>
      </c>
      <c r="N83" s="60">
        <f t="shared" si="21"/>
        <v>678.10404836691555</v>
      </c>
      <c r="O83" s="60">
        <f t="shared" si="22"/>
        <v>499.26342022619031</v>
      </c>
      <c r="P83" s="5">
        <f t="shared" si="42"/>
        <v>7800329.2895750394</v>
      </c>
      <c r="Q83" s="5">
        <f t="shared" si="43"/>
        <v>835.5838105697361</v>
      </c>
      <c r="R83" s="60">
        <f t="shared" si="50"/>
        <v>385.74400000000003</v>
      </c>
      <c r="S83" s="42">
        <f t="shared" si="46"/>
        <v>7.0794637598282462</v>
      </c>
      <c r="T83" s="42">
        <f t="shared" si="51"/>
        <v>6.2928566754028861</v>
      </c>
      <c r="U83" s="6">
        <f t="shared" si="44"/>
        <v>24.23193050652235</v>
      </c>
      <c r="V83" s="6">
        <f t="shared" si="47"/>
        <v>423.34825094175352</v>
      </c>
      <c r="W83" s="42">
        <f t="shared" si="48"/>
        <v>412.23555962798258</v>
      </c>
      <c r="X83" s="42">
        <f t="shared" si="45"/>
        <v>3848295.131254395</v>
      </c>
      <c r="Y83" s="42">
        <f>NPV(B$2,X$4:X83)</f>
        <v>13412519.519511856</v>
      </c>
    </row>
    <row r="84" spans="1:25" x14ac:dyDescent="0.25">
      <c r="A84" s="59">
        <v>2054</v>
      </c>
      <c r="B84" s="55">
        <f t="shared" si="39"/>
        <v>2054</v>
      </c>
      <c r="C84" s="55">
        <f t="shared" si="40"/>
        <v>2058</v>
      </c>
      <c r="D84" s="152" t="s">
        <v>14</v>
      </c>
      <c r="E84" s="59">
        <v>27036091.36728644</v>
      </c>
      <c r="F84" s="84"/>
      <c r="H84" s="8">
        <f t="shared" si="49"/>
        <v>2085</v>
      </c>
      <c r="I84" s="4">
        <f t="shared" si="53"/>
        <v>3722.3469977307082</v>
      </c>
      <c r="J84" s="4">
        <f t="shared" si="53"/>
        <v>5612.8378046848002</v>
      </c>
      <c r="K84" s="4">
        <f t="shared" si="53"/>
        <v>0</v>
      </c>
      <c r="L84" s="4">
        <f t="shared" si="52"/>
        <v>9335.1848024155079</v>
      </c>
      <c r="M84" s="60">
        <f t="shared" si="20"/>
        <v>1078.4089876885703</v>
      </c>
      <c r="N84" s="60">
        <f t="shared" si="21"/>
        <v>681.49456860875</v>
      </c>
      <c r="O84" s="60">
        <f t="shared" si="22"/>
        <v>501.7597373273212</v>
      </c>
      <c r="P84" s="5">
        <f t="shared" si="42"/>
        <v>7839330.9360229131</v>
      </c>
      <c r="Q84" s="5">
        <f t="shared" si="43"/>
        <v>839.76172962258465</v>
      </c>
      <c r="R84" s="60">
        <f t="shared" si="50"/>
        <v>385.74400000000003</v>
      </c>
      <c r="S84" s="42">
        <f t="shared" si="46"/>
        <v>7.0794637598282462</v>
      </c>
      <c r="T84" s="42">
        <f t="shared" si="51"/>
        <v>6.2928566754028861</v>
      </c>
      <c r="U84" s="6">
        <f t="shared" si="44"/>
        <v>24.353090159054958</v>
      </c>
      <c r="V84" s="6">
        <f t="shared" si="47"/>
        <v>423.4694105942861</v>
      </c>
      <c r="W84" s="42">
        <f t="shared" si="48"/>
        <v>416.29231902829855</v>
      </c>
      <c r="X84" s="42">
        <f t="shared" si="45"/>
        <v>3886165.7299552807</v>
      </c>
      <c r="Y84" s="42">
        <f>NPV(B$2,X$4:X84)</f>
        <v>13428716.547220094</v>
      </c>
    </row>
    <row r="85" spans="1:25" x14ac:dyDescent="0.25">
      <c r="A85" s="59">
        <v>2054</v>
      </c>
      <c r="B85" s="55">
        <f t="shared" si="39"/>
        <v>2054</v>
      </c>
      <c r="C85" s="55">
        <f t="shared" si="40"/>
        <v>2058</v>
      </c>
      <c r="D85" s="152" t="s">
        <v>13</v>
      </c>
      <c r="E85" s="59">
        <v>11126476.192395106</v>
      </c>
      <c r="F85" s="84"/>
      <c r="H85" s="8">
        <f t="shared" si="49"/>
        <v>2086</v>
      </c>
      <c r="I85" s="4">
        <f t="shared" si="53"/>
        <v>3722.3469977307082</v>
      </c>
      <c r="J85" s="4">
        <f t="shared" si="53"/>
        <v>5612.8378046848002</v>
      </c>
      <c r="K85" s="4">
        <f t="shared" si="53"/>
        <v>0</v>
      </c>
      <c r="L85" s="4">
        <f t="shared" si="52"/>
        <v>9335.1848024155079</v>
      </c>
      <c r="M85" s="60">
        <f t="shared" si="20"/>
        <v>1083.801032627013</v>
      </c>
      <c r="N85" s="60">
        <f t="shared" si="21"/>
        <v>684.90204145179371</v>
      </c>
      <c r="O85" s="60">
        <f t="shared" si="22"/>
        <v>504.26853601395777</v>
      </c>
      <c r="P85" s="5">
        <f t="shared" si="42"/>
        <v>7878527.5907030273</v>
      </c>
      <c r="Q85" s="5">
        <f t="shared" si="43"/>
        <v>843.9605382706975</v>
      </c>
      <c r="R85" s="60">
        <f t="shared" si="50"/>
        <v>385.74400000000003</v>
      </c>
      <c r="S85" s="42">
        <f t="shared" si="46"/>
        <v>7.0794637598282462</v>
      </c>
      <c r="T85" s="42">
        <f t="shared" si="51"/>
        <v>6.2928566754028861</v>
      </c>
      <c r="U85" s="6">
        <f t="shared" si="44"/>
        <v>24.474855609850231</v>
      </c>
      <c r="V85" s="6">
        <f t="shared" si="47"/>
        <v>423.5911760450814</v>
      </c>
      <c r="W85" s="42">
        <f t="shared" si="48"/>
        <v>420.3693622256161</v>
      </c>
      <c r="X85" s="42">
        <f t="shared" si="45"/>
        <v>3924225.6816496709</v>
      </c>
      <c r="Y85" s="42">
        <f>NPV(B$2,X$4:X85)</f>
        <v>13444002.207576903</v>
      </c>
    </row>
    <row r="86" spans="1:25" x14ac:dyDescent="0.25">
      <c r="A86" s="59">
        <v>2054</v>
      </c>
      <c r="B86" s="55">
        <f t="shared" si="39"/>
        <v>2054</v>
      </c>
      <c r="C86" s="55">
        <f t="shared" si="40"/>
        <v>2058</v>
      </c>
      <c r="D86" s="152" t="s">
        <v>96</v>
      </c>
      <c r="E86" s="59">
        <v>1044891.3314161177</v>
      </c>
      <c r="F86" s="84"/>
      <c r="H86" s="8">
        <f t="shared" si="49"/>
        <v>2087</v>
      </c>
      <c r="I86" s="4">
        <f t="shared" si="53"/>
        <v>3722.3469977307082</v>
      </c>
      <c r="J86" s="4">
        <f t="shared" si="53"/>
        <v>5612.8378046848002</v>
      </c>
      <c r="K86" s="4">
        <f t="shared" si="53"/>
        <v>0</v>
      </c>
      <c r="L86" s="4">
        <f t="shared" si="52"/>
        <v>9335.1848024155079</v>
      </c>
      <c r="M86" s="60">
        <f t="shared" si="20"/>
        <v>1089.2200377901479</v>
      </c>
      <c r="N86" s="60">
        <f t="shared" si="21"/>
        <v>688.3265516590526</v>
      </c>
      <c r="O86" s="60">
        <f t="shared" si="22"/>
        <v>506.78987869402749</v>
      </c>
      <c r="P86" s="5">
        <f t="shared" si="42"/>
        <v>7917920.2286565416</v>
      </c>
      <c r="Q86" s="5">
        <f t="shared" si="43"/>
        <v>848.18034096205099</v>
      </c>
      <c r="R86" s="60">
        <f t="shared" si="50"/>
        <v>385.74400000000003</v>
      </c>
      <c r="S86" s="42">
        <f t="shared" si="46"/>
        <v>7.0794637598282462</v>
      </c>
      <c r="T86" s="42">
        <f t="shared" si="51"/>
        <v>6.2928566754028861</v>
      </c>
      <c r="U86" s="6">
        <f t="shared" si="44"/>
        <v>24.597229887899477</v>
      </c>
      <c r="V86" s="6">
        <f t="shared" si="47"/>
        <v>423.71355032313062</v>
      </c>
      <c r="W86" s="42">
        <f t="shared" si="48"/>
        <v>424.46679063892037</v>
      </c>
      <c r="X86" s="42">
        <f t="shared" si="45"/>
        <v>3962475.9331025346</v>
      </c>
      <c r="Y86" s="42">
        <f>NPV(B$2,X$4:X86)</f>
        <v>13458427.116826359</v>
      </c>
    </row>
    <row r="87" spans="1:25" x14ac:dyDescent="0.25">
      <c r="A87" s="59">
        <v>2059</v>
      </c>
      <c r="B87" s="55">
        <f t="shared" si="39"/>
        <v>2059</v>
      </c>
      <c r="C87" s="55">
        <f t="shared" si="40"/>
        <v>2063</v>
      </c>
      <c r="D87" s="152" t="s">
        <v>14</v>
      </c>
      <c r="E87" s="59">
        <v>18829467.306611896</v>
      </c>
      <c r="F87" s="84"/>
      <c r="H87" s="8">
        <f t="shared" si="49"/>
        <v>2088</v>
      </c>
      <c r="I87" s="4">
        <f t="shared" si="53"/>
        <v>3722.3469977307082</v>
      </c>
      <c r="J87" s="4">
        <f t="shared" si="53"/>
        <v>5612.8378046848002</v>
      </c>
      <c r="K87" s="4">
        <f t="shared" si="53"/>
        <v>0</v>
      </c>
      <c r="L87" s="4">
        <f t="shared" si="52"/>
        <v>9335.1848024155079</v>
      </c>
      <c r="M87" s="60">
        <f t="shared" si="20"/>
        <v>1094.6661379790985</v>
      </c>
      <c r="N87" s="60">
        <f t="shared" si="21"/>
        <v>691.76818441734781</v>
      </c>
      <c r="O87" s="60">
        <f t="shared" si="22"/>
        <v>509.32382808749759</v>
      </c>
      <c r="P87" s="5">
        <f t="shared" si="42"/>
        <v>7957509.8297998235</v>
      </c>
      <c r="Q87" s="5">
        <f t="shared" si="43"/>
        <v>852.42124266686108</v>
      </c>
      <c r="R87" s="60">
        <f t="shared" si="50"/>
        <v>385.74400000000003</v>
      </c>
      <c r="S87" s="42">
        <f t="shared" si="46"/>
        <v>7.0794637598282462</v>
      </c>
      <c r="T87" s="42">
        <f t="shared" si="51"/>
        <v>6.2928566754028861</v>
      </c>
      <c r="U87" s="6">
        <f t="shared" si="44"/>
        <v>24.720216037338975</v>
      </c>
      <c r="V87" s="6">
        <f t="shared" si="47"/>
        <v>423.83653647257012</v>
      </c>
      <c r="W87" s="42">
        <f t="shared" si="48"/>
        <v>428.58470619429096</v>
      </c>
      <c r="X87" s="42">
        <f t="shared" si="45"/>
        <v>4000917.4358126605</v>
      </c>
      <c r="Y87" s="42">
        <f>NPV(B$2,X$4:X87)</f>
        <v>13472039.126958009</v>
      </c>
    </row>
    <row r="88" spans="1:25" x14ac:dyDescent="0.25">
      <c r="A88" s="59">
        <v>2059</v>
      </c>
      <c r="B88" s="55">
        <f t="shared" si="39"/>
        <v>2059</v>
      </c>
      <c r="C88" s="55">
        <f t="shared" si="40"/>
        <v>2063</v>
      </c>
      <c r="D88" s="152" t="s">
        <v>13</v>
      </c>
      <c r="E88" s="59">
        <v>6982084.3414910156</v>
      </c>
      <c r="F88" s="84"/>
      <c r="H88" s="8">
        <f t="shared" si="49"/>
        <v>2089</v>
      </c>
      <c r="I88" s="4">
        <f t="shared" si="53"/>
        <v>1906.3985929689941</v>
      </c>
      <c r="J88" s="4">
        <f t="shared" si="53"/>
        <v>3189.752892610371</v>
      </c>
      <c r="K88" s="4">
        <f t="shared" si="53"/>
        <v>0</v>
      </c>
      <c r="L88" s="4">
        <f t="shared" si="52"/>
        <v>5096.1514855793648</v>
      </c>
      <c r="M88" s="60">
        <f t="shared" si="20"/>
        <v>1100.1394686689939</v>
      </c>
      <c r="N88" s="60">
        <f t="shared" si="21"/>
        <v>695.22702533943448</v>
      </c>
      <c r="O88" s="60">
        <f t="shared" si="22"/>
        <v>511.87044722793502</v>
      </c>
      <c r="P88" s="5">
        <f t="shared" si="42"/>
        <v>4314906.7502375916</v>
      </c>
      <c r="Q88" s="5">
        <f t="shared" si="43"/>
        <v>846.69907526248585</v>
      </c>
      <c r="R88" s="60">
        <f t="shared" si="50"/>
        <v>385.74400000000003</v>
      </c>
      <c r="S88" s="42">
        <f t="shared" si="46"/>
        <v>12.968237440941504</v>
      </c>
      <c r="T88" s="42">
        <f t="shared" si="51"/>
        <v>11.527322169725785</v>
      </c>
      <c r="U88" s="6">
        <f t="shared" si="44"/>
        <v>24.554273182612089</v>
      </c>
      <c r="V88" s="6">
        <f t="shared" si="47"/>
        <v>434.79383279327936</v>
      </c>
      <c r="W88" s="42">
        <f t="shared" si="48"/>
        <v>411.90524246920648</v>
      </c>
      <c r="X88" s="42">
        <f t="shared" si="45"/>
        <v>2099131.5133273751</v>
      </c>
      <c r="Y88" s="42">
        <f>NPV(B$2,X$4:X88)</f>
        <v>13478713.624005876</v>
      </c>
    </row>
    <row r="89" spans="1:25" x14ac:dyDescent="0.25">
      <c r="A89" s="59">
        <v>2059</v>
      </c>
      <c r="B89" s="55">
        <f t="shared" si="39"/>
        <v>2059</v>
      </c>
      <c r="C89" s="55">
        <f t="shared" si="40"/>
        <v>2063</v>
      </c>
      <c r="D89" s="152" t="s">
        <v>96</v>
      </c>
      <c r="E89" s="59">
        <v>643432.19348672987</v>
      </c>
      <c r="F89" s="84"/>
      <c r="H89" s="8">
        <f t="shared" si="49"/>
        <v>2090</v>
      </c>
      <c r="I89" s="4">
        <f t="shared" si="53"/>
        <v>1906.3985929689941</v>
      </c>
      <c r="J89" s="4">
        <f t="shared" si="53"/>
        <v>3189.752892610371</v>
      </c>
      <c r="K89" s="4">
        <f t="shared" si="53"/>
        <v>0</v>
      </c>
      <c r="L89" s="4">
        <f t="shared" si="52"/>
        <v>5096.1514855793648</v>
      </c>
      <c r="M89" s="60">
        <f t="shared" ref="M89:M114" si="54">M88*(1+$B$4)</f>
        <v>1105.6401660123388</v>
      </c>
      <c r="N89" s="60">
        <f t="shared" ref="N89:N114" si="55">N88*(1+$B$4)</f>
        <v>698.70316046613152</v>
      </c>
      <c r="O89" s="60">
        <f t="shared" ref="O89:O114" si="56">O88*(1+$B$4)</f>
        <v>514.42979946407468</v>
      </c>
      <c r="P89" s="5">
        <f t="shared" si="42"/>
        <v>4336481.2839887794</v>
      </c>
      <c r="Q89" s="5">
        <f t="shared" si="43"/>
        <v>850.93257063879821</v>
      </c>
      <c r="R89" s="60">
        <f t="shared" si="50"/>
        <v>385.74400000000003</v>
      </c>
      <c r="S89" s="42">
        <f t="shared" si="46"/>
        <v>12.968237440941504</v>
      </c>
      <c r="T89" s="42">
        <f t="shared" si="51"/>
        <v>11.527322169725785</v>
      </c>
      <c r="U89" s="6">
        <f t="shared" si="44"/>
        <v>24.677044548525149</v>
      </c>
      <c r="V89" s="6">
        <f t="shared" si="47"/>
        <v>434.91660415919245</v>
      </c>
      <c r="W89" s="42">
        <f t="shared" si="48"/>
        <v>416.01596647960577</v>
      </c>
      <c r="X89" s="42">
        <f t="shared" si="45"/>
        <v>2120080.385599778</v>
      </c>
      <c r="Y89" s="42">
        <f>NPV(B$2,X$4:X89)</f>
        <v>13485013.724066658</v>
      </c>
    </row>
    <row r="90" spans="1:25" x14ac:dyDescent="0.25">
      <c r="A90" s="59">
        <v>2064</v>
      </c>
      <c r="B90" s="55">
        <f t="shared" si="39"/>
        <v>2064</v>
      </c>
      <c r="C90" s="55">
        <f t="shared" si="40"/>
        <v>2068</v>
      </c>
      <c r="D90" s="152" t="s">
        <v>14</v>
      </c>
      <c r="E90" s="59">
        <v>34726688.364657328</v>
      </c>
      <c r="F90" s="84"/>
      <c r="H90" s="8">
        <f t="shared" si="49"/>
        <v>2091</v>
      </c>
      <c r="I90" s="4">
        <f t="shared" si="53"/>
        <v>1906.3985929689941</v>
      </c>
      <c r="J90" s="4">
        <f t="shared" si="53"/>
        <v>3189.752892610371</v>
      </c>
      <c r="K90" s="4">
        <f t="shared" si="53"/>
        <v>0</v>
      </c>
      <c r="L90" s="4">
        <f t="shared" si="52"/>
        <v>5096.1514855793648</v>
      </c>
      <c r="M90" s="60">
        <f t="shared" si="54"/>
        <v>1111.1683668424005</v>
      </c>
      <c r="N90" s="60">
        <f t="shared" si="55"/>
        <v>702.19667626846206</v>
      </c>
      <c r="O90" s="60">
        <f t="shared" si="56"/>
        <v>517.00194846139505</v>
      </c>
      <c r="P90" s="5">
        <f t="shared" si="42"/>
        <v>4358163.6904087225</v>
      </c>
      <c r="Q90" s="5">
        <f t="shared" si="43"/>
        <v>855.18723349199206</v>
      </c>
      <c r="R90" s="60">
        <f t="shared" si="50"/>
        <v>385.74400000000003</v>
      </c>
      <c r="S90" s="42">
        <f t="shared" si="46"/>
        <v>12.968237440941504</v>
      </c>
      <c r="T90" s="42">
        <f t="shared" si="51"/>
        <v>11.527322169725785</v>
      </c>
      <c r="U90" s="6">
        <f t="shared" si="44"/>
        <v>24.800429771267773</v>
      </c>
      <c r="V90" s="6">
        <f t="shared" si="47"/>
        <v>435.03998938193507</v>
      </c>
      <c r="W90" s="42">
        <f t="shared" si="48"/>
        <v>420.14724411005699</v>
      </c>
      <c r="X90" s="42">
        <f t="shared" si="45"/>
        <v>2141134.002233543</v>
      </c>
      <c r="Y90" s="42">
        <f>NPV(B$2,X$4:X90)</f>
        <v>13490960.138716223</v>
      </c>
    </row>
    <row r="91" spans="1:25" x14ac:dyDescent="0.25">
      <c r="A91" s="59">
        <v>2064</v>
      </c>
      <c r="B91" s="55">
        <f t="shared" si="39"/>
        <v>2064</v>
      </c>
      <c r="C91" s="55">
        <f t="shared" si="40"/>
        <v>2068</v>
      </c>
      <c r="D91" s="152" t="s">
        <v>13</v>
      </c>
      <c r="E91" s="59">
        <v>15140259.788972562</v>
      </c>
      <c r="F91" s="84"/>
      <c r="H91" s="8">
        <f t="shared" si="49"/>
        <v>2092</v>
      </c>
      <c r="I91" s="4">
        <f t="shared" si="53"/>
        <v>1906.3985929689941</v>
      </c>
      <c r="J91" s="4">
        <f t="shared" si="53"/>
        <v>3189.752892610371</v>
      </c>
      <c r="K91" s="4">
        <f t="shared" si="53"/>
        <v>0</v>
      </c>
      <c r="L91" s="4">
        <f t="shared" si="52"/>
        <v>5096.1514855793648</v>
      </c>
      <c r="M91" s="60">
        <f t="shared" si="54"/>
        <v>1116.7242086766123</v>
      </c>
      <c r="N91" s="60">
        <f t="shared" si="55"/>
        <v>705.70765964980433</v>
      </c>
      <c r="O91" s="60">
        <f t="shared" si="56"/>
        <v>519.58695820370201</v>
      </c>
      <c r="P91" s="5">
        <f t="shared" si="42"/>
        <v>4379954.508860765</v>
      </c>
      <c r="Q91" s="5">
        <f t="shared" si="43"/>
        <v>859.46316965945186</v>
      </c>
      <c r="R91" s="60">
        <f t="shared" si="50"/>
        <v>385.74400000000003</v>
      </c>
      <c r="S91" s="42">
        <f t="shared" si="46"/>
        <v>12.968237440941504</v>
      </c>
      <c r="T91" s="42">
        <f t="shared" si="51"/>
        <v>11.527322169725785</v>
      </c>
      <c r="U91" s="6">
        <f t="shared" si="44"/>
        <v>24.924431920124103</v>
      </c>
      <c r="V91" s="6">
        <f t="shared" si="47"/>
        <v>435.16399153079141</v>
      </c>
      <c r="W91" s="42">
        <f t="shared" si="48"/>
        <v>424.29917812866046</v>
      </c>
      <c r="X91" s="42">
        <f t="shared" si="45"/>
        <v>2162292.8869504766</v>
      </c>
      <c r="Y91" s="42">
        <f>NPV(B$2,X$4:X91)</f>
        <v>13496572.454296064</v>
      </c>
    </row>
    <row r="92" spans="1:25" x14ac:dyDescent="0.25">
      <c r="A92" s="59">
        <v>2064</v>
      </c>
      <c r="B92" s="55">
        <f t="shared" si="39"/>
        <v>2064</v>
      </c>
      <c r="C92" s="55">
        <f t="shared" si="40"/>
        <v>2068</v>
      </c>
      <c r="D92" s="152" t="s">
        <v>96</v>
      </c>
      <c r="E92" s="59">
        <v>1760967.7779363836</v>
      </c>
      <c r="F92" s="84"/>
      <c r="H92" s="8">
        <f t="shared" si="49"/>
        <v>2093</v>
      </c>
      <c r="I92" s="4">
        <f t="shared" si="53"/>
        <v>1906.3985929689941</v>
      </c>
      <c r="J92" s="4">
        <f t="shared" si="53"/>
        <v>3189.752892610371</v>
      </c>
      <c r="K92" s="4">
        <f t="shared" si="53"/>
        <v>0</v>
      </c>
      <c r="L92" s="4">
        <f t="shared" si="52"/>
        <v>5096.1514855793648</v>
      </c>
      <c r="M92" s="60">
        <f t="shared" si="54"/>
        <v>1122.3078297199952</v>
      </c>
      <c r="N92" s="60">
        <f t="shared" si="55"/>
        <v>709.23619794805325</v>
      </c>
      <c r="O92" s="60">
        <f t="shared" si="56"/>
        <v>522.18489299472049</v>
      </c>
      <c r="P92" s="5">
        <f t="shared" si="42"/>
        <v>4401854.2814050689</v>
      </c>
      <c r="Q92" s="5">
        <f t="shared" si="43"/>
        <v>863.76048550774908</v>
      </c>
      <c r="R92" s="60">
        <f t="shared" si="50"/>
        <v>385.74400000000003</v>
      </c>
      <c r="S92" s="42">
        <f t="shared" si="46"/>
        <v>12.968237440941504</v>
      </c>
      <c r="T92" s="42">
        <f t="shared" si="51"/>
        <v>11.527322169725785</v>
      </c>
      <c r="U92" s="6">
        <f t="shared" si="44"/>
        <v>25.049054079724726</v>
      </c>
      <c r="V92" s="6">
        <f t="shared" si="47"/>
        <v>435.28861369039203</v>
      </c>
      <c r="W92" s="42">
        <f t="shared" si="48"/>
        <v>428.47187181735706</v>
      </c>
      <c r="X92" s="42">
        <f t="shared" si="45"/>
        <v>2183557.5660909954</v>
      </c>
      <c r="Y92" s="42">
        <f>NPV(B$2,X$4:X92)</f>
        <v>13501869.191571286</v>
      </c>
    </row>
    <row r="93" spans="1:25" x14ac:dyDescent="0.25">
      <c r="A93" s="59">
        <v>2069</v>
      </c>
      <c r="B93" s="55">
        <f t="shared" si="39"/>
        <v>2069</v>
      </c>
      <c r="C93" s="55">
        <f t="shared" si="40"/>
        <v>2073</v>
      </c>
      <c r="D93" s="152" t="s">
        <v>14</v>
      </c>
      <c r="E93" s="59">
        <v>16217759.178220002</v>
      </c>
      <c r="F93" s="84"/>
      <c r="H93" s="8">
        <f t="shared" si="49"/>
        <v>2094</v>
      </c>
      <c r="I93" s="4">
        <f t="shared" si="53"/>
        <v>3416.151432370978</v>
      </c>
      <c r="J93" s="4">
        <f t="shared" si="53"/>
        <v>4909.8457303396954</v>
      </c>
      <c r="K93" s="4">
        <f t="shared" si="53"/>
        <v>0</v>
      </c>
      <c r="L93" s="4">
        <f t="shared" si="52"/>
        <v>8325.9971627106734</v>
      </c>
      <c r="M93" s="60">
        <f t="shared" si="54"/>
        <v>1127.919368868595</v>
      </c>
      <c r="N93" s="60">
        <f t="shared" si="55"/>
        <v>712.7823789377934</v>
      </c>
      <c r="O93" s="60">
        <f t="shared" si="56"/>
        <v>524.79581745969404</v>
      </c>
      <c r="P93" s="5">
        <f t="shared" si="42"/>
        <v>7352794.8874485157</v>
      </c>
      <c r="Q93" s="5">
        <f t="shared" si="43"/>
        <v>883.1128264586971</v>
      </c>
      <c r="R93" s="60">
        <f t="shared" si="50"/>
        <v>385.74400000000003</v>
      </c>
      <c r="S93" s="42">
        <f t="shared" si="46"/>
        <v>7.9375600553872703</v>
      </c>
      <c r="T93" s="42">
        <f t="shared" si="51"/>
        <v>7.0556089381220204</v>
      </c>
      <c r="U93" s="6">
        <f t="shared" si="44"/>
        <v>25.610271967302221</v>
      </c>
      <c r="V93" s="6">
        <f t="shared" si="47"/>
        <v>426.34744096081153</v>
      </c>
      <c r="W93" s="42">
        <f t="shared" si="48"/>
        <v>456.76538549788557</v>
      </c>
      <c r="X93" s="42">
        <f t="shared" si="45"/>
        <v>3803027.303679842</v>
      </c>
      <c r="Y93" s="42">
        <f>NPV(B$2,X$4:X93)</f>
        <v>13510490.822975259</v>
      </c>
    </row>
    <row r="94" spans="1:25" x14ac:dyDescent="0.25">
      <c r="A94" s="59">
        <v>2069</v>
      </c>
      <c r="B94" s="55">
        <f t="shared" si="39"/>
        <v>2069</v>
      </c>
      <c r="C94" s="55">
        <f t="shared" si="40"/>
        <v>2073</v>
      </c>
      <c r="D94" s="152" t="s">
        <v>13</v>
      </c>
      <c r="E94" s="59">
        <v>6742220.832795837</v>
      </c>
      <c r="F94" s="84"/>
      <c r="H94" s="8">
        <f t="shared" si="49"/>
        <v>2095</v>
      </c>
      <c r="I94" s="4">
        <f t="shared" si="53"/>
        <v>3416.151432370978</v>
      </c>
      <c r="J94" s="4">
        <f t="shared" si="53"/>
        <v>4909.8457303396954</v>
      </c>
      <c r="K94" s="4">
        <f t="shared" si="53"/>
        <v>0</v>
      </c>
      <c r="L94" s="4">
        <f t="shared" si="52"/>
        <v>8325.9971627106734</v>
      </c>
      <c r="M94" s="60">
        <f t="shared" si="54"/>
        <v>1133.5589657129378</v>
      </c>
      <c r="N94" s="60">
        <f t="shared" si="55"/>
        <v>716.34629083248228</v>
      </c>
      <c r="O94" s="60">
        <f t="shared" si="56"/>
        <v>527.41979654699242</v>
      </c>
      <c r="P94" s="5">
        <f t="shared" si="42"/>
        <v>7389558.8618857581</v>
      </c>
      <c r="Q94" s="5">
        <f t="shared" si="43"/>
        <v>887.52839059099063</v>
      </c>
      <c r="R94" s="60">
        <f t="shared" si="50"/>
        <v>385.74400000000003</v>
      </c>
      <c r="S94" s="42">
        <f t="shared" si="46"/>
        <v>7.9375600553872703</v>
      </c>
      <c r="T94" s="42">
        <f t="shared" si="51"/>
        <v>7.0556089381220204</v>
      </c>
      <c r="U94" s="6">
        <f t="shared" si="44"/>
        <v>25.73832332713873</v>
      </c>
      <c r="V94" s="6">
        <f t="shared" si="47"/>
        <v>426.47549232064807</v>
      </c>
      <c r="W94" s="42">
        <f t="shared" si="48"/>
        <v>461.05289827034255</v>
      </c>
      <c r="X94" s="42">
        <f t="shared" si="45"/>
        <v>3838725.1228584046</v>
      </c>
      <c r="Y94" s="42">
        <f>NPV(B$2,X$4:X94)</f>
        <v>13518624.056565696</v>
      </c>
    </row>
    <row r="95" spans="1:25" x14ac:dyDescent="0.25">
      <c r="A95" s="59">
        <v>2069</v>
      </c>
      <c r="B95" s="55">
        <f t="shared" si="39"/>
        <v>2069</v>
      </c>
      <c r="C95" s="55">
        <f t="shared" si="40"/>
        <v>2073</v>
      </c>
      <c r="D95" s="152" t="s">
        <v>96</v>
      </c>
      <c r="E95" s="59">
        <v>396702.03734402457</v>
      </c>
      <c r="F95" s="84"/>
      <c r="H95" s="8">
        <f t="shared" si="49"/>
        <v>2096</v>
      </c>
      <c r="I95" s="4">
        <f t="shared" si="53"/>
        <v>3416.151432370978</v>
      </c>
      <c r="J95" s="4">
        <f t="shared" si="53"/>
        <v>4909.8457303396954</v>
      </c>
      <c r="K95" s="4">
        <f t="shared" si="53"/>
        <v>0</v>
      </c>
      <c r="L95" s="4">
        <f t="shared" si="52"/>
        <v>8325.9971627106734</v>
      </c>
      <c r="M95" s="60">
        <f t="shared" si="54"/>
        <v>1139.2267605415025</v>
      </c>
      <c r="N95" s="60">
        <f t="shared" si="55"/>
        <v>719.92802228664459</v>
      </c>
      <c r="O95" s="60">
        <f t="shared" si="56"/>
        <v>530.05689552972729</v>
      </c>
      <c r="P95" s="5">
        <f t="shared" si="42"/>
        <v>7426506.6561951861</v>
      </c>
      <c r="Q95" s="5">
        <f t="shared" si="43"/>
        <v>891.96603254394552</v>
      </c>
      <c r="R95" s="60">
        <f t="shared" si="50"/>
        <v>385.74400000000003</v>
      </c>
      <c r="S95" s="42">
        <f t="shared" si="46"/>
        <v>7.9375600553872703</v>
      </c>
      <c r="T95" s="42">
        <f t="shared" si="51"/>
        <v>7.0556089381220204</v>
      </c>
      <c r="U95" s="6">
        <f t="shared" si="44"/>
        <v>25.867014943774421</v>
      </c>
      <c r="V95" s="6">
        <f t="shared" si="47"/>
        <v>426.60418393728378</v>
      </c>
      <c r="W95" s="42">
        <f t="shared" si="48"/>
        <v>465.36184860666174</v>
      </c>
      <c r="X95" s="42">
        <f t="shared" si="45"/>
        <v>3874601.4311328596</v>
      </c>
      <c r="Y95" s="42">
        <f>NPV(B$2,X$4:X95)</f>
        <v>13526296.249003684</v>
      </c>
    </row>
    <row r="96" spans="1:25" x14ac:dyDescent="0.25">
      <c r="A96" s="59">
        <v>2074</v>
      </c>
      <c r="B96" s="55">
        <f t="shared" si="39"/>
        <v>2074</v>
      </c>
      <c r="C96" s="55">
        <f t="shared" si="40"/>
        <v>2078</v>
      </c>
      <c r="D96" s="152" t="s">
        <v>14</v>
      </c>
      <c r="E96" s="59">
        <v>30826226.267773446</v>
      </c>
      <c r="F96" s="84"/>
      <c r="H96" s="8">
        <f>H95+1</f>
        <v>2097</v>
      </c>
      <c r="I96" s="4">
        <f t="shared" si="53"/>
        <v>3416.151432370978</v>
      </c>
      <c r="J96" s="4">
        <f t="shared" si="53"/>
        <v>4909.8457303396954</v>
      </c>
      <c r="K96" s="4">
        <f t="shared" si="53"/>
        <v>0</v>
      </c>
      <c r="L96" s="4">
        <f t="shared" si="52"/>
        <v>8325.9971627106734</v>
      </c>
      <c r="M96" s="60">
        <f t="shared" si="54"/>
        <v>1144.9228943442099</v>
      </c>
      <c r="N96" s="60">
        <f t="shared" si="55"/>
        <v>723.52766239807772</v>
      </c>
      <c r="O96" s="60">
        <f t="shared" si="56"/>
        <v>532.70718000737588</v>
      </c>
      <c r="P96" s="5">
        <f t="shared" si="42"/>
        <v>7463639.1894761613</v>
      </c>
      <c r="Q96" s="5">
        <f t="shared" si="43"/>
        <v>896.42586270666516</v>
      </c>
      <c r="R96" s="60">
        <f t="shared" si="50"/>
        <v>385.74400000000003</v>
      </c>
      <c r="S96" s="42">
        <f t="shared" si="46"/>
        <v>7.9375600553872703</v>
      </c>
      <c r="T96" s="42">
        <f t="shared" si="51"/>
        <v>7.0556089381220204</v>
      </c>
      <c r="U96" s="6">
        <f t="shared" si="44"/>
        <v>25.996350018493288</v>
      </c>
      <c r="V96" s="6">
        <f t="shared" si="47"/>
        <v>426.7335190120026</v>
      </c>
      <c r="W96" s="42">
        <f t="shared" si="48"/>
        <v>469.69234369466255</v>
      </c>
      <c r="X96" s="42">
        <f t="shared" si="45"/>
        <v>3910657.1209486867</v>
      </c>
      <c r="Y96" s="42">
        <f>NPV(B$2,X$4:X96)</f>
        <v>13533533.246373279</v>
      </c>
    </row>
    <row r="97" spans="1:25" x14ac:dyDescent="0.25">
      <c r="A97" s="59">
        <v>2074</v>
      </c>
      <c r="B97" s="55">
        <f t="shared" si="39"/>
        <v>2074</v>
      </c>
      <c r="C97" s="55">
        <f t="shared" si="40"/>
        <v>2078</v>
      </c>
      <c r="D97" s="152" t="s">
        <v>13</v>
      </c>
      <c r="E97" s="59">
        <v>16307209.816072725</v>
      </c>
      <c r="F97" s="84"/>
      <c r="H97" s="8">
        <f t="shared" ref="H97:H101" si="57">H96+1</f>
        <v>2098</v>
      </c>
      <c r="I97" s="4">
        <f t="shared" si="53"/>
        <v>3416.151432370978</v>
      </c>
      <c r="J97" s="4">
        <f t="shared" si="53"/>
        <v>4909.8457303396954</v>
      </c>
      <c r="K97" s="4">
        <f t="shared" si="53"/>
        <v>0</v>
      </c>
      <c r="L97" s="4">
        <f t="shared" si="52"/>
        <v>8325.9971627106734</v>
      </c>
      <c r="M97" s="60">
        <f t="shared" si="54"/>
        <v>1150.6475088159309</v>
      </c>
      <c r="N97" s="60">
        <f t="shared" si="55"/>
        <v>727.145300710068</v>
      </c>
      <c r="O97" s="60">
        <f t="shared" si="56"/>
        <v>535.37071590741266</v>
      </c>
      <c r="P97" s="5">
        <f t="shared" si="42"/>
        <v>7500957.3854235411</v>
      </c>
      <c r="Q97" s="5">
        <f t="shared" si="43"/>
        <v>900.90799202019832</v>
      </c>
      <c r="R97" s="60">
        <f t="shared" si="50"/>
        <v>385.74400000000003</v>
      </c>
      <c r="S97" s="42">
        <f t="shared" si="46"/>
        <v>7.9375600553872703</v>
      </c>
      <c r="T97" s="42">
        <f t="shared" si="51"/>
        <v>7.0556089381220204</v>
      </c>
      <c r="U97" s="6">
        <f t="shared" si="44"/>
        <v>26.12633176858575</v>
      </c>
      <c r="V97" s="6">
        <f t="shared" si="47"/>
        <v>426.8635007620951</v>
      </c>
      <c r="W97" s="42">
        <f t="shared" si="48"/>
        <v>474.04449125810322</v>
      </c>
      <c r="X97" s="42">
        <f t="shared" si="45"/>
        <v>3946893.089213592</v>
      </c>
      <c r="Y97" s="42">
        <f>NPV(B$2,X$4:X97)</f>
        <v>13540359.466048952</v>
      </c>
    </row>
    <row r="98" spans="1:25" x14ac:dyDescent="0.25">
      <c r="A98" s="59">
        <v>2074</v>
      </c>
      <c r="B98" s="55">
        <f t="shared" si="39"/>
        <v>2074</v>
      </c>
      <c r="C98" s="55">
        <f t="shared" si="40"/>
        <v>2078</v>
      </c>
      <c r="D98" s="152" t="s">
        <v>96</v>
      </c>
      <c r="E98" s="59">
        <v>1010704.2423846535</v>
      </c>
      <c r="F98" s="84"/>
      <c r="H98" s="8">
        <f t="shared" si="57"/>
        <v>2099</v>
      </c>
      <c r="I98" s="4">
        <f t="shared" si="53"/>
        <v>2090.6831761951898</v>
      </c>
      <c r="J98" s="4">
        <f t="shared" si="53"/>
        <v>3398.59051290361</v>
      </c>
      <c r="K98" s="4">
        <f t="shared" si="53"/>
        <v>0</v>
      </c>
      <c r="L98" s="4">
        <f t="shared" si="52"/>
        <v>5489.2736890987999</v>
      </c>
      <c r="M98" s="60">
        <f t="shared" si="54"/>
        <v>1156.4007463600105</v>
      </c>
      <c r="N98" s="60">
        <f t="shared" si="55"/>
        <v>730.78102721361824</v>
      </c>
      <c r="O98" s="60">
        <f t="shared" si="56"/>
        <v>538.04756948694967</v>
      </c>
      <c r="P98" s="5">
        <f t="shared" si="42"/>
        <v>4901293.051452592</v>
      </c>
      <c r="Q98" s="5">
        <f t="shared" si="43"/>
        <v>892.88553077360962</v>
      </c>
      <c r="R98" s="60">
        <f t="shared" si="50"/>
        <v>385.74400000000003</v>
      </c>
      <c r="S98" s="42">
        <f t="shared" si="46"/>
        <v>12.03949852805572</v>
      </c>
      <c r="T98" s="42">
        <f t="shared" si="51"/>
        <v>10.701776469382864</v>
      </c>
      <c r="U98" s="6">
        <f t="shared" si="44"/>
        <v>25.893680392434682</v>
      </c>
      <c r="V98" s="6">
        <f t="shared" si="47"/>
        <v>434.37895538987334</v>
      </c>
      <c r="W98" s="42">
        <f t="shared" si="48"/>
        <v>458.50657538373628</v>
      </c>
      <c r="X98" s="42">
        <f t="shared" si="45"/>
        <v>2516868.0805327389</v>
      </c>
      <c r="Y98" s="42">
        <f>NPV(B$2,X$4:X98)</f>
        <v>13544427.659280179</v>
      </c>
    </row>
    <row r="99" spans="1:25" x14ac:dyDescent="0.25">
      <c r="A99" s="59">
        <v>2079</v>
      </c>
      <c r="B99" s="55">
        <f t="shared" si="39"/>
        <v>2079</v>
      </c>
      <c r="C99" s="55">
        <f t="shared" si="40"/>
        <v>2083</v>
      </c>
      <c r="D99" s="152" t="s">
        <v>14</v>
      </c>
      <c r="E99" s="59">
        <v>19058609.13718538</v>
      </c>
      <c r="F99" s="84"/>
      <c r="H99" s="8">
        <f t="shared" si="57"/>
        <v>2100</v>
      </c>
      <c r="I99" s="4">
        <f t="shared" si="53"/>
        <v>2090.6831761951898</v>
      </c>
      <c r="J99" s="4">
        <f t="shared" si="53"/>
        <v>3398.59051290361</v>
      </c>
      <c r="K99" s="4">
        <f t="shared" si="53"/>
        <v>0</v>
      </c>
      <c r="L99" s="4">
        <f t="shared" si="52"/>
        <v>5489.2736890987999</v>
      </c>
      <c r="M99" s="60">
        <f t="shared" si="54"/>
        <v>1162.1827500918105</v>
      </c>
      <c r="N99" s="60">
        <f t="shared" si="55"/>
        <v>734.43493234968628</v>
      </c>
      <c r="O99" s="60">
        <f t="shared" si="56"/>
        <v>540.73780733438434</v>
      </c>
      <c r="P99" s="5">
        <f t="shared" ref="P99:P113" si="58">I99*M99+J99*N99+K99*O99</f>
        <v>4925799.5167098548</v>
      </c>
      <c r="Q99" s="5">
        <f t="shared" ref="Q99:Q113" si="59">P99/L99</f>
        <v>897.34995842747765</v>
      </c>
      <c r="R99" s="60">
        <f t="shared" si="50"/>
        <v>385.74400000000003</v>
      </c>
      <c r="S99" s="42">
        <f t="shared" si="46"/>
        <v>12.03949852805572</v>
      </c>
      <c r="T99" s="42">
        <f t="shared" si="51"/>
        <v>10.701776469382864</v>
      </c>
      <c r="U99" s="6">
        <f t="shared" ref="U99:U113" si="60">B$5*(I99*M99+J99*N99+K99*O99)/L99</f>
        <v>26.02314879439685</v>
      </c>
      <c r="V99" s="6">
        <f t="shared" si="47"/>
        <v>434.50842379183547</v>
      </c>
      <c r="W99" s="42">
        <f t="shared" si="48"/>
        <v>462.84153463564218</v>
      </c>
      <c r="X99" s="42">
        <f t="shared" ref="X99:X113" si="61">W99*L99</f>
        <v>2540663.8582975413</v>
      </c>
      <c r="Y99" s="42">
        <f>NPV(B$2,X$4:X99)</f>
        <v>13548265.655581601</v>
      </c>
    </row>
    <row r="100" spans="1:25" x14ac:dyDescent="0.25">
      <c r="A100" s="59">
        <v>2079</v>
      </c>
      <c r="B100" s="55">
        <f t="shared" si="39"/>
        <v>2079</v>
      </c>
      <c r="C100" s="55">
        <f t="shared" si="40"/>
        <v>2083</v>
      </c>
      <c r="D100" s="152" t="s">
        <v>13</v>
      </c>
      <c r="E100" s="59">
        <v>8833396.4322999995</v>
      </c>
      <c r="F100" s="84"/>
      <c r="H100" s="8">
        <f t="shared" si="57"/>
        <v>2101</v>
      </c>
      <c r="I100" s="4">
        <f t="shared" si="53"/>
        <v>2090.6831761951898</v>
      </c>
      <c r="J100" s="4">
        <f t="shared" si="53"/>
        <v>3398.59051290361</v>
      </c>
      <c r="K100" s="4">
        <f t="shared" si="53"/>
        <v>0</v>
      </c>
      <c r="L100" s="4">
        <f t="shared" si="52"/>
        <v>5489.2736890987999</v>
      </c>
      <c r="M100" s="60">
        <f t="shared" si="54"/>
        <v>1167.9936638422694</v>
      </c>
      <c r="N100" s="60">
        <f t="shared" si="55"/>
        <v>738.10710701143466</v>
      </c>
      <c r="O100" s="60">
        <f t="shared" si="56"/>
        <v>543.44149637105625</v>
      </c>
      <c r="P100" s="5">
        <f t="shared" si="58"/>
        <v>4950428.5142934043</v>
      </c>
      <c r="Q100" s="5">
        <f t="shared" si="59"/>
        <v>901.83670821961505</v>
      </c>
      <c r="R100" s="60">
        <f t="shared" si="50"/>
        <v>385.74400000000003</v>
      </c>
      <c r="S100" s="42">
        <f t="shared" si="46"/>
        <v>12.03949852805572</v>
      </c>
      <c r="T100" s="42">
        <f t="shared" si="51"/>
        <v>10.701776469382864</v>
      </c>
      <c r="U100" s="6">
        <f t="shared" si="60"/>
        <v>26.153264538368841</v>
      </c>
      <c r="V100" s="6">
        <f t="shared" si="47"/>
        <v>434.63853953580747</v>
      </c>
      <c r="W100" s="42">
        <f t="shared" si="48"/>
        <v>467.19816868380758</v>
      </c>
      <c r="X100" s="42">
        <f t="shared" si="61"/>
        <v>2564578.6149511677</v>
      </c>
      <c r="Y100" s="42">
        <f>NPV(B$2,X$4:X100)</f>
        <v>13551886.330896365</v>
      </c>
    </row>
    <row r="101" spans="1:25" x14ac:dyDescent="0.25">
      <c r="A101" s="59">
        <v>2079</v>
      </c>
      <c r="B101" s="55">
        <f t="shared" si="39"/>
        <v>2079</v>
      </c>
      <c r="C101" s="55">
        <f t="shared" si="40"/>
        <v>2083</v>
      </c>
      <c r="D101" s="152" t="s">
        <v>96</v>
      </c>
      <c r="E101" s="59">
        <v>439940.70727597683</v>
      </c>
      <c r="F101" s="84"/>
      <c r="H101" s="8">
        <f t="shared" si="57"/>
        <v>2102</v>
      </c>
      <c r="I101" s="4">
        <f t="shared" si="53"/>
        <v>2090.6831761951898</v>
      </c>
      <c r="J101" s="4">
        <f t="shared" si="53"/>
        <v>3398.59051290361</v>
      </c>
      <c r="K101" s="4">
        <f t="shared" si="53"/>
        <v>0</v>
      </c>
      <c r="L101" s="4">
        <f t="shared" si="52"/>
        <v>5489.2736890987999</v>
      </c>
      <c r="M101" s="60">
        <f t="shared" si="54"/>
        <v>1173.8336321614806</v>
      </c>
      <c r="N101" s="60">
        <f t="shared" si="55"/>
        <v>741.79764254649172</v>
      </c>
      <c r="O101" s="60">
        <f t="shared" si="56"/>
        <v>546.15870385291146</v>
      </c>
      <c r="P101" s="5">
        <f t="shared" si="58"/>
        <v>4975180.6568648703</v>
      </c>
      <c r="Q101" s="5">
        <f t="shared" si="59"/>
        <v>906.3458917607129</v>
      </c>
      <c r="R101" s="60">
        <f t="shared" si="50"/>
        <v>385.74400000000003</v>
      </c>
      <c r="S101" s="42">
        <f t="shared" si="46"/>
        <v>12.03949852805572</v>
      </c>
      <c r="T101" s="42">
        <f t="shared" si="51"/>
        <v>10.701776469382864</v>
      </c>
      <c r="U101" s="6">
        <f t="shared" si="60"/>
        <v>26.284030861060678</v>
      </c>
      <c r="V101" s="6">
        <f t="shared" si="47"/>
        <v>434.76930585849931</v>
      </c>
      <c r="W101" s="42">
        <f t="shared" si="48"/>
        <v>471.57658590221359</v>
      </c>
      <c r="X101" s="42">
        <f t="shared" si="61"/>
        <v>2588612.945388061</v>
      </c>
      <c r="Y101" s="42">
        <f>NPV(B$2,X$4:X101)</f>
        <v>13555301.85146899</v>
      </c>
    </row>
    <row r="102" spans="1:25" x14ac:dyDescent="0.25">
      <c r="A102" s="59">
        <v>2084</v>
      </c>
      <c r="B102" s="55">
        <f t="shared" si="39"/>
        <v>2084</v>
      </c>
      <c r="C102" s="55">
        <f t="shared" si="40"/>
        <v>2088</v>
      </c>
      <c r="D102" s="152" t="s">
        <v>14</v>
      </c>
      <c r="E102" s="59">
        <v>28064189.023424003</v>
      </c>
      <c r="F102" s="84"/>
      <c r="H102" s="8">
        <f>H101+1</f>
        <v>2103</v>
      </c>
      <c r="I102" s="4">
        <f t="shared" si="53"/>
        <v>2090.6831761951898</v>
      </c>
      <c r="J102" s="4">
        <f t="shared" si="53"/>
        <v>3398.59051290361</v>
      </c>
      <c r="K102" s="4">
        <f t="shared" si="53"/>
        <v>0</v>
      </c>
      <c r="L102" s="4">
        <f t="shared" si="52"/>
        <v>5489.2736890987999</v>
      </c>
      <c r="M102" s="60">
        <f t="shared" si="54"/>
        <v>1179.7028003222879</v>
      </c>
      <c r="N102" s="60">
        <f t="shared" si="55"/>
        <v>745.50663075922409</v>
      </c>
      <c r="O102" s="60">
        <f t="shared" si="56"/>
        <v>548.88949737217592</v>
      </c>
      <c r="P102" s="5">
        <f t="shared" si="58"/>
        <v>5000056.5601491947</v>
      </c>
      <c r="Q102" s="5">
        <f t="shared" si="59"/>
        <v>910.87762121951653</v>
      </c>
      <c r="R102" s="60">
        <f t="shared" si="50"/>
        <v>385.74400000000003</v>
      </c>
      <c r="S102" s="42">
        <f t="shared" si="46"/>
        <v>12.03949852805572</v>
      </c>
      <c r="T102" s="42">
        <f t="shared" si="51"/>
        <v>10.701776469382864</v>
      </c>
      <c r="U102" s="6">
        <f t="shared" si="60"/>
        <v>26.415451015365978</v>
      </c>
      <c r="V102" s="6">
        <f t="shared" si="47"/>
        <v>434.90072601280463</v>
      </c>
      <c r="W102" s="42">
        <f t="shared" si="48"/>
        <v>475.9768952067119</v>
      </c>
      <c r="X102" s="42">
        <f t="shared" si="61"/>
        <v>2612767.4474771405</v>
      </c>
      <c r="Y102" s="42">
        <f>NPV(B$2,X$4:X102)</f>
        <v>13558523.712215906</v>
      </c>
    </row>
    <row r="103" spans="1:25" x14ac:dyDescent="0.25">
      <c r="A103" s="59">
        <v>2084</v>
      </c>
      <c r="B103" s="55">
        <f t="shared" si="39"/>
        <v>2084</v>
      </c>
      <c r="C103" s="55">
        <f t="shared" si="40"/>
        <v>2088</v>
      </c>
      <c r="D103" s="152" t="s">
        <v>13</v>
      </c>
      <c r="E103" s="59">
        <v>18611734.988653541</v>
      </c>
      <c r="F103" s="84"/>
      <c r="H103" s="54">
        <f t="shared" ref="H103:H114" si="62">H102+1</f>
        <v>2104</v>
      </c>
      <c r="I103" s="4">
        <f t="shared" ref="I103:K114" si="63">SUMIFS($E$54:$E$122,$D$54:$D$122,I$2,$B$54:$B$122,"&lt;="&amp;$H103,$C$54:$C$122,"&gt;="&amp;$H103)/1000/5</f>
        <v>3642.6683307593412</v>
      </c>
      <c r="J103" s="4">
        <f t="shared" si="63"/>
        <v>5820.4525069402189</v>
      </c>
      <c r="K103" s="4">
        <f t="shared" si="63"/>
        <v>0</v>
      </c>
      <c r="L103" s="4">
        <f t="shared" ref="L103:L113" si="64">SUM(I103:K103)</f>
        <v>9463.1208376995601</v>
      </c>
      <c r="M103" s="60">
        <f t="shared" si="54"/>
        <v>1185.6013143238993</v>
      </c>
      <c r="N103" s="60">
        <f t="shared" si="55"/>
        <v>749.2341639130201</v>
      </c>
      <c r="O103" s="60">
        <f t="shared" si="56"/>
        <v>551.63394485903677</v>
      </c>
      <c r="P103" s="5">
        <f t="shared" si="58"/>
        <v>8679634.2282271162</v>
      </c>
      <c r="Q103" s="5">
        <f t="shared" si="59"/>
        <v>917.20631883393492</v>
      </c>
      <c r="R103" s="60">
        <f t="shared" si="50"/>
        <v>385.74400000000003</v>
      </c>
      <c r="S103" s="42">
        <f t="shared" si="46"/>
        <v>6.9837534185039205</v>
      </c>
      <c r="T103" s="42">
        <f t="shared" si="51"/>
        <v>6.2077808164479311</v>
      </c>
      <c r="U103" s="6">
        <f t="shared" si="60"/>
        <v>26.598983246184112</v>
      </c>
      <c r="V103" s="6">
        <f t="shared" ref="V103:V113" si="65">SUM(R103:U103)</f>
        <v>425.53451748113599</v>
      </c>
      <c r="W103" s="42">
        <f t="shared" ref="W103:W113" si="66">Q103-V103</f>
        <v>491.67180135279892</v>
      </c>
      <c r="X103" s="42">
        <f t="shared" si="61"/>
        <v>4652749.6686909506</v>
      </c>
      <c r="Y103" s="42">
        <f>NPV(B$2,X$4:X103)</f>
        <v>13563885.77529067</v>
      </c>
    </row>
    <row r="104" spans="1:25" x14ac:dyDescent="0.25">
      <c r="A104" s="59">
        <v>2084</v>
      </c>
      <c r="B104" s="55">
        <f t="shared" si="39"/>
        <v>2084</v>
      </c>
      <c r="C104" s="55">
        <f t="shared" si="40"/>
        <v>2088</v>
      </c>
      <c r="D104" s="152" t="s">
        <v>96</v>
      </c>
      <c r="E104" s="59">
        <v>153486.12266214212</v>
      </c>
      <c r="F104" s="84"/>
      <c r="H104" s="54">
        <f t="shared" si="62"/>
        <v>2105</v>
      </c>
      <c r="I104" s="4">
        <f t="shared" si="63"/>
        <v>3642.6683307593412</v>
      </c>
      <c r="J104" s="4">
        <f t="shared" si="63"/>
        <v>5820.4525069402189</v>
      </c>
      <c r="K104" s="4">
        <f t="shared" si="63"/>
        <v>0</v>
      </c>
      <c r="L104" s="4">
        <f t="shared" si="64"/>
        <v>9463.1208376995601</v>
      </c>
      <c r="M104" s="60">
        <f t="shared" si="54"/>
        <v>1191.5293208955186</v>
      </c>
      <c r="N104" s="60">
        <f t="shared" si="55"/>
        <v>752.98033473258511</v>
      </c>
      <c r="O104" s="60">
        <f t="shared" si="56"/>
        <v>554.39211458333193</v>
      </c>
      <c r="P104" s="5">
        <f t="shared" si="58"/>
        <v>8723032.3993682507</v>
      </c>
      <c r="Q104" s="5">
        <f t="shared" si="59"/>
        <v>921.79235042810456</v>
      </c>
      <c r="R104" s="60">
        <f t="shared" si="50"/>
        <v>385.74400000000003</v>
      </c>
      <c r="S104" s="42">
        <f t="shared" si="46"/>
        <v>6.9837534185039205</v>
      </c>
      <c r="T104" s="42">
        <f t="shared" si="51"/>
        <v>6.2077808164479311</v>
      </c>
      <c r="U104" s="6">
        <f t="shared" si="60"/>
        <v>26.731978162415032</v>
      </c>
      <c r="V104" s="6">
        <f t="shared" si="65"/>
        <v>425.66751239736692</v>
      </c>
      <c r="W104" s="42">
        <f t="shared" si="66"/>
        <v>496.12483803073764</v>
      </c>
      <c r="X104" s="42">
        <f t="shared" si="61"/>
        <v>4694889.2928689923</v>
      </c>
      <c r="Y104" s="42">
        <f>NPV(B$2,X$4:X104)</f>
        <v>13568942.435945081</v>
      </c>
    </row>
    <row r="105" spans="1:25" x14ac:dyDescent="0.25">
      <c r="A105" s="59">
        <v>2089</v>
      </c>
      <c r="B105" s="55">
        <f t="shared" si="39"/>
        <v>2089</v>
      </c>
      <c r="C105" s="55">
        <f t="shared" si="40"/>
        <v>2093</v>
      </c>
      <c r="D105" s="152" t="s">
        <v>14</v>
      </c>
      <c r="E105" s="59">
        <v>15948764.463051856</v>
      </c>
      <c r="F105" s="84"/>
      <c r="H105" s="54">
        <f t="shared" si="62"/>
        <v>2106</v>
      </c>
      <c r="I105" s="4">
        <f t="shared" si="63"/>
        <v>3642.6683307593412</v>
      </c>
      <c r="J105" s="4">
        <f t="shared" si="63"/>
        <v>5820.4525069402189</v>
      </c>
      <c r="K105" s="4">
        <f t="shared" si="63"/>
        <v>0</v>
      </c>
      <c r="L105" s="4">
        <f t="shared" si="64"/>
        <v>9463.1208376995601</v>
      </c>
      <c r="M105" s="60">
        <f t="shared" si="54"/>
        <v>1197.4869674999961</v>
      </c>
      <c r="N105" s="60">
        <f t="shared" si="55"/>
        <v>756.74523640624795</v>
      </c>
      <c r="O105" s="60">
        <f t="shared" si="56"/>
        <v>557.16407515624849</v>
      </c>
      <c r="P105" s="5">
        <f t="shared" si="58"/>
        <v>8766647.5613650903</v>
      </c>
      <c r="Q105" s="5">
        <f t="shared" si="59"/>
        <v>926.40131218024487</v>
      </c>
      <c r="R105" s="60">
        <f t="shared" si="50"/>
        <v>385.74400000000003</v>
      </c>
      <c r="S105" s="42">
        <f t="shared" si="46"/>
        <v>6.9837534185039205</v>
      </c>
      <c r="T105" s="42">
        <f t="shared" si="51"/>
        <v>6.2077808164479311</v>
      </c>
      <c r="U105" s="6">
        <f t="shared" si="60"/>
        <v>26.865638053227105</v>
      </c>
      <c r="V105" s="6">
        <f t="shared" si="65"/>
        <v>425.80117228817898</v>
      </c>
      <c r="W105" s="42">
        <f t="shared" si="66"/>
        <v>500.6001398920659</v>
      </c>
      <c r="X105" s="42">
        <f t="shared" si="61"/>
        <v>4737239.6151679233</v>
      </c>
      <c r="Y105" s="42">
        <f>NPV(B$2,X$4:X105)</f>
        <v>13573710.916637544</v>
      </c>
    </row>
    <row r="106" spans="1:25" x14ac:dyDescent="0.25">
      <c r="A106" s="59">
        <v>2089</v>
      </c>
      <c r="B106" s="55">
        <f t="shared" si="39"/>
        <v>2089</v>
      </c>
      <c r="C106" s="55">
        <f t="shared" si="40"/>
        <v>2093</v>
      </c>
      <c r="D106" s="152" t="s">
        <v>13</v>
      </c>
      <c r="E106" s="59">
        <v>9531992.96484497</v>
      </c>
      <c r="F106" s="84"/>
      <c r="H106" s="54">
        <f t="shared" si="62"/>
        <v>2107</v>
      </c>
      <c r="I106" s="4">
        <f t="shared" si="63"/>
        <v>3642.6683307593412</v>
      </c>
      <c r="J106" s="4">
        <f t="shared" si="63"/>
        <v>5820.4525069402189</v>
      </c>
      <c r="K106" s="4">
        <f t="shared" si="63"/>
        <v>0</v>
      </c>
      <c r="L106" s="4">
        <f t="shared" si="64"/>
        <v>9463.1208376995601</v>
      </c>
      <c r="M106" s="60">
        <f t="shared" si="54"/>
        <v>1203.474402337496</v>
      </c>
      <c r="N106" s="60">
        <f t="shared" si="55"/>
        <v>760.52896258827911</v>
      </c>
      <c r="O106" s="60">
        <f t="shared" si="56"/>
        <v>559.9498955320297</v>
      </c>
      <c r="P106" s="5">
        <f t="shared" si="58"/>
        <v>8810480.7991719153</v>
      </c>
      <c r="Q106" s="5">
        <f t="shared" si="59"/>
        <v>931.03331874114599</v>
      </c>
      <c r="R106" s="60">
        <f t="shared" si="50"/>
        <v>385.74400000000003</v>
      </c>
      <c r="S106" s="42">
        <f t="shared" si="46"/>
        <v>6.9837534185039205</v>
      </c>
      <c r="T106" s="42">
        <f t="shared" si="51"/>
        <v>6.2077808164479311</v>
      </c>
      <c r="U106" s="6">
        <f t="shared" si="60"/>
        <v>26.999966243493237</v>
      </c>
      <c r="V106" s="6">
        <f t="shared" si="65"/>
        <v>425.93550047844514</v>
      </c>
      <c r="W106" s="42">
        <f t="shared" si="66"/>
        <v>505.09781826270086</v>
      </c>
      <c r="X106" s="42">
        <f t="shared" si="61"/>
        <v>4779801.6890783496</v>
      </c>
      <c r="Y106" s="42">
        <f>NPV(B$2,X$4:X106)</f>
        <v>13578207.480613342</v>
      </c>
    </row>
    <row r="107" spans="1:25" x14ac:dyDescent="0.25">
      <c r="A107" s="59">
        <v>2089</v>
      </c>
      <c r="B107" s="55">
        <f t="shared" si="39"/>
        <v>2089</v>
      </c>
      <c r="C107" s="55">
        <f t="shared" si="40"/>
        <v>2093</v>
      </c>
      <c r="D107" s="152" t="s">
        <v>96</v>
      </c>
      <c r="E107" s="59">
        <v>228514.68973621109</v>
      </c>
      <c r="F107" s="84"/>
      <c r="H107" s="54">
        <f t="shared" si="62"/>
        <v>2108</v>
      </c>
      <c r="I107" s="4">
        <f t="shared" si="63"/>
        <v>3642.6683307593412</v>
      </c>
      <c r="J107" s="4">
        <f t="shared" si="63"/>
        <v>5820.4525069402189</v>
      </c>
      <c r="K107" s="4">
        <f t="shared" si="63"/>
        <v>0</v>
      </c>
      <c r="L107" s="4">
        <f t="shared" si="64"/>
        <v>9463.1208376995601</v>
      </c>
      <c r="M107" s="60">
        <f t="shared" si="54"/>
        <v>1209.4917743491833</v>
      </c>
      <c r="N107" s="60">
        <f t="shared" si="55"/>
        <v>764.33160740122048</v>
      </c>
      <c r="O107" s="60">
        <f t="shared" si="56"/>
        <v>562.74964500968974</v>
      </c>
      <c r="P107" s="5">
        <f t="shared" si="58"/>
        <v>8854533.2031677738</v>
      </c>
      <c r="Q107" s="5">
        <f t="shared" si="59"/>
        <v>935.68848533485163</v>
      </c>
      <c r="R107" s="60">
        <f t="shared" si="50"/>
        <v>385.74400000000003</v>
      </c>
      <c r="S107" s="42">
        <f t="shared" si="46"/>
        <v>6.9837534185039205</v>
      </c>
      <c r="T107" s="42">
        <f t="shared" si="51"/>
        <v>6.2077808164479311</v>
      </c>
      <c r="U107" s="6">
        <f t="shared" si="60"/>
        <v>27.1349660747107</v>
      </c>
      <c r="V107" s="6">
        <f t="shared" si="65"/>
        <v>426.07050030966258</v>
      </c>
      <c r="W107" s="42">
        <f t="shared" si="66"/>
        <v>509.61798502518906</v>
      </c>
      <c r="X107" s="42">
        <f t="shared" si="61"/>
        <v>4822576.573358329</v>
      </c>
      <c r="Y107" s="42">
        <f>NPV(B$2,X$4:X107)</f>
        <v>13582447.484482286</v>
      </c>
    </row>
    <row r="108" spans="1:25" x14ac:dyDescent="0.25">
      <c r="A108" s="59">
        <v>2094</v>
      </c>
      <c r="B108" s="55">
        <f t="shared" si="39"/>
        <v>2094</v>
      </c>
      <c r="C108" s="55">
        <f t="shared" si="40"/>
        <v>2098</v>
      </c>
      <c r="D108" s="152" t="s">
        <v>14</v>
      </c>
      <c r="E108" s="59">
        <v>24549228.651698478</v>
      </c>
      <c r="F108" s="84"/>
      <c r="H108" s="54">
        <f t="shared" si="62"/>
        <v>2109</v>
      </c>
      <c r="I108" s="4">
        <f t="shared" si="63"/>
        <v>2859.7630354497678</v>
      </c>
      <c r="J108" s="4">
        <f t="shared" si="63"/>
        <v>4344.5996629080746</v>
      </c>
      <c r="K108" s="4">
        <f t="shared" si="63"/>
        <v>0</v>
      </c>
      <c r="L108" s="4">
        <f t="shared" si="64"/>
        <v>7204.3626983578424</v>
      </c>
      <c r="M108" s="60">
        <f t="shared" si="54"/>
        <v>1215.539233220929</v>
      </c>
      <c r="N108" s="60">
        <f t="shared" si="55"/>
        <v>768.15326543822653</v>
      </c>
      <c r="O108" s="60">
        <f t="shared" si="56"/>
        <v>565.5633932347381</v>
      </c>
      <c r="P108" s="5">
        <f t="shared" si="58"/>
        <v>6813472.5853888225</v>
      </c>
      <c r="Q108" s="5">
        <f t="shared" si="59"/>
        <v>945.742582746685</v>
      </c>
      <c r="R108" s="60">
        <f t="shared" si="50"/>
        <v>385.74400000000003</v>
      </c>
      <c r="S108" s="42">
        <f t="shared" si="46"/>
        <v>9.1733447172314175</v>
      </c>
      <c r="T108" s="42">
        <f t="shared" si="51"/>
        <v>8.1540841930945938</v>
      </c>
      <c r="U108" s="6">
        <f t="shared" si="60"/>
        <v>27.426534899653866</v>
      </c>
      <c r="V108" s="6">
        <f t="shared" si="65"/>
        <v>430.49796380997992</v>
      </c>
      <c r="W108" s="42">
        <f t="shared" si="66"/>
        <v>515.24461893670514</v>
      </c>
      <c r="X108" s="42">
        <f t="shared" si="61"/>
        <v>3712009.1131971991</v>
      </c>
      <c r="Y108" s="42">
        <f>NPV(B$2,X$4:X108)</f>
        <v>13585497.572532777</v>
      </c>
    </row>
    <row r="109" spans="1:25" x14ac:dyDescent="0.25">
      <c r="A109" s="59">
        <v>2094</v>
      </c>
      <c r="B109" s="55">
        <f t="shared" si="39"/>
        <v>2094</v>
      </c>
      <c r="C109" s="55">
        <f t="shared" si="40"/>
        <v>2098</v>
      </c>
      <c r="D109" s="152" t="s">
        <v>13</v>
      </c>
      <c r="E109" s="59">
        <v>17080757.161854889</v>
      </c>
      <c r="F109" s="84"/>
      <c r="H109" s="54">
        <f t="shared" si="62"/>
        <v>2110</v>
      </c>
      <c r="I109" s="4">
        <f t="shared" si="63"/>
        <v>2859.7630354497678</v>
      </c>
      <c r="J109" s="4">
        <f t="shared" si="63"/>
        <v>4344.5996629080746</v>
      </c>
      <c r="K109" s="4">
        <f t="shared" si="63"/>
        <v>0</v>
      </c>
      <c r="L109" s="4">
        <f t="shared" si="64"/>
        <v>7204.3626983578424</v>
      </c>
      <c r="M109" s="60">
        <f t="shared" si="54"/>
        <v>1221.6169293870335</v>
      </c>
      <c r="N109" s="60">
        <f t="shared" si="55"/>
        <v>771.99403176541762</v>
      </c>
      <c r="O109" s="60">
        <f t="shared" si="56"/>
        <v>568.3912102009117</v>
      </c>
      <c r="P109" s="5">
        <f t="shared" si="58"/>
        <v>6847539.9483157657</v>
      </c>
      <c r="Q109" s="5">
        <f t="shared" si="59"/>
        <v>950.47129566041826</v>
      </c>
      <c r="R109" s="60">
        <f t="shared" si="50"/>
        <v>385.74400000000003</v>
      </c>
      <c r="S109" s="42">
        <f t="shared" si="46"/>
        <v>9.1733447172314175</v>
      </c>
      <c r="T109" s="42">
        <f t="shared" si="51"/>
        <v>8.1540841930945938</v>
      </c>
      <c r="U109" s="6">
        <f t="shared" si="60"/>
        <v>27.563667574152131</v>
      </c>
      <c r="V109" s="6">
        <f t="shared" si="65"/>
        <v>430.6350964844782</v>
      </c>
      <c r="W109" s="42">
        <f t="shared" si="66"/>
        <v>519.83619917594001</v>
      </c>
      <c r="X109" s="42">
        <f t="shared" si="61"/>
        <v>3745088.5225992599</v>
      </c>
      <c r="Y109" s="42">
        <f>NPV(B$2,X$4:X109)</f>
        <v>13588373.524662536</v>
      </c>
    </row>
    <row r="110" spans="1:25" x14ac:dyDescent="0.25">
      <c r="A110" s="59">
        <v>2094</v>
      </c>
      <c r="B110" s="55">
        <f t="shared" si="39"/>
        <v>2094</v>
      </c>
      <c r="C110" s="55">
        <f t="shared" si="40"/>
        <v>2098</v>
      </c>
      <c r="D110" s="152" t="s">
        <v>96</v>
      </c>
      <c r="E110" s="59">
        <v>69556.627396501761</v>
      </c>
      <c r="F110" s="84"/>
      <c r="H110" s="54">
        <f t="shared" si="62"/>
        <v>2111</v>
      </c>
      <c r="I110" s="4">
        <f t="shared" si="63"/>
        <v>2859.7630354497678</v>
      </c>
      <c r="J110" s="4">
        <f t="shared" si="63"/>
        <v>4344.5996629080746</v>
      </c>
      <c r="K110" s="4">
        <f t="shared" si="63"/>
        <v>0</v>
      </c>
      <c r="L110" s="4">
        <f t="shared" si="64"/>
        <v>7204.3626983578424</v>
      </c>
      <c r="M110" s="60">
        <f t="shared" si="54"/>
        <v>1227.7250140339686</v>
      </c>
      <c r="N110" s="60">
        <f t="shared" si="55"/>
        <v>775.85400192424459</v>
      </c>
      <c r="O110" s="60">
        <f t="shared" si="56"/>
        <v>571.23316625191615</v>
      </c>
      <c r="P110" s="5">
        <f t="shared" si="58"/>
        <v>6881777.6480573453</v>
      </c>
      <c r="Q110" s="5">
        <f t="shared" si="59"/>
        <v>955.22365213872047</v>
      </c>
      <c r="R110" s="60">
        <f t="shared" si="50"/>
        <v>385.74400000000003</v>
      </c>
      <c r="S110" s="42">
        <f t="shared" si="46"/>
        <v>9.1733447172314175</v>
      </c>
      <c r="T110" s="42">
        <f t="shared" si="51"/>
        <v>8.1540841930945938</v>
      </c>
      <c r="U110" s="6">
        <f t="shared" si="60"/>
        <v>27.701485912022896</v>
      </c>
      <c r="V110" s="6">
        <f t="shared" si="65"/>
        <v>430.77291482234898</v>
      </c>
      <c r="W110" s="42">
        <f t="shared" si="66"/>
        <v>524.45073731637149</v>
      </c>
      <c r="X110" s="42">
        <f t="shared" si="61"/>
        <v>3778333.3290483342</v>
      </c>
      <c r="Y110" s="42">
        <f>NPV(B$2,X$4:X110)</f>
        <v>13591085.189795589</v>
      </c>
    </row>
    <row r="111" spans="1:25" x14ac:dyDescent="0.25">
      <c r="A111" s="59">
        <v>2099</v>
      </c>
      <c r="B111" s="55">
        <f t="shared" si="39"/>
        <v>2099</v>
      </c>
      <c r="C111" s="55">
        <f t="shared" si="40"/>
        <v>2103</v>
      </c>
      <c r="D111" s="152" t="s">
        <v>14</v>
      </c>
      <c r="E111" s="59">
        <v>16992952.564518049</v>
      </c>
      <c r="F111" s="84"/>
      <c r="H111" s="54">
        <f t="shared" si="62"/>
        <v>2112</v>
      </c>
      <c r="I111" s="4">
        <f t="shared" si="63"/>
        <v>2859.7630354497678</v>
      </c>
      <c r="J111" s="4">
        <f t="shared" si="63"/>
        <v>4344.5996629080746</v>
      </c>
      <c r="K111" s="4">
        <f t="shared" si="63"/>
        <v>0</v>
      </c>
      <c r="L111" s="4">
        <f t="shared" si="64"/>
        <v>7204.3626983578424</v>
      </c>
      <c r="M111" s="60">
        <f t="shared" si="54"/>
        <v>1233.8636391041382</v>
      </c>
      <c r="N111" s="60">
        <f t="shared" si="55"/>
        <v>779.73327193386569</v>
      </c>
      <c r="O111" s="60">
        <f t="shared" si="56"/>
        <v>574.08933208317569</v>
      </c>
      <c r="P111" s="5">
        <f t="shared" si="58"/>
        <v>6916186.5362976305</v>
      </c>
      <c r="Q111" s="5">
        <f t="shared" si="59"/>
        <v>959.99977039941382</v>
      </c>
      <c r="R111" s="60">
        <f t="shared" si="50"/>
        <v>385.74400000000003</v>
      </c>
      <c r="S111" s="42">
        <f>SUMIFS(F$27:F$37,B$27:B$37,"&lt;="&amp;$H111,C$27:C$37,"&gt;="&amp;H111)/L111/10</f>
        <v>9.1733447172314175</v>
      </c>
      <c r="T111" s="42">
        <f t="shared" si="51"/>
        <v>8.1540841930945938</v>
      </c>
      <c r="U111" s="6">
        <f t="shared" si="60"/>
        <v>27.839993341583003</v>
      </c>
      <c r="V111" s="6">
        <f t="shared" si="65"/>
        <v>430.91142225190907</v>
      </c>
      <c r="W111" s="42">
        <f t="shared" si="66"/>
        <v>529.0883481475048</v>
      </c>
      <c r="X111" s="42">
        <f t="shared" si="61"/>
        <v>3811744.3595296512</v>
      </c>
      <c r="Y111" s="42">
        <f>NPV(B$2,X$4:X111)</f>
        <v>13593641.866276318</v>
      </c>
    </row>
    <row r="112" spans="1:25" x14ac:dyDescent="0.25">
      <c r="A112" s="59">
        <v>2099</v>
      </c>
      <c r="B112" s="55">
        <f t="shared" si="39"/>
        <v>2099</v>
      </c>
      <c r="C112" s="55">
        <f t="shared" si="40"/>
        <v>2103</v>
      </c>
      <c r="D112" s="152" t="s">
        <v>13</v>
      </c>
      <c r="E112" s="59">
        <v>10453415.880975949</v>
      </c>
      <c r="F112" s="84"/>
      <c r="H112" s="54">
        <f t="shared" si="62"/>
        <v>2113</v>
      </c>
      <c r="I112" s="4">
        <f t="shared" si="63"/>
        <v>2859.7630354497678</v>
      </c>
      <c r="J112" s="4">
        <f t="shared" si="63"/>
        <v>4344.5996629080746</v>
      </c>
      <c r="K112" s="4">
        <f t="shared" si="63"/>
        <v>0</v>
      </c>
      <c r="L112" s="4">
        <f t="shared" si="64"/>
        <v>7204.3626983578424</v>
      </c>
      <c r="M112" s="60">
        <f t="shared" si="54"/>
        <v>1240.0329572996588</v>
      </c>
      <c r="N112" s="60">
        <f t="shared" si="55"/>
        <v>783.63193829353497</v>
      </c>
      <c r="O112" s="60">
        <f t="shared" si="56"/>
        <v>576.95977874359153</v>
      </c>
      <c r="P112" s="5">
        <f t="shared" si="58"/>
        <v>6950767.4689791175</v>
      </c>
      <c r="Q112" s="5">
        <f t="shared" si="59"/>
        <v>964.79976925141079</v>
      </c>
      <c r="R112" s="60">
        <f t="shared" si="50"/>
        <v>385.74400000000003</v>
      </c>
      <c r="S112" s="42">
        <f>SUMIFS(F$27:F$37,B$27:B$37,"&lt;="&amp;$H112,C$27:C$37,"&gt;="&amp;H112)/L112/10</f>
        <v>9.1733447172314175</v>
      </c>
      <c r="T112" s="42">
        <f t="shared" si="51"/>
        <v>8.1540841930945938</v>
      </c>
      <c r="U112" s="6">
        <f t="shared" si="60"/>
        <v>27.979193308290913</v>
      </c>
      <c r="V112" s="6">
        <f t="shared" si="65"/>
        <v>431.05062221861698</v>
      </c>
      <c r="W112" s="42">
        <f t="shared" si="66"/>
        <v>533.74914703279387</v>
      </c>
      <c r="X112" s="42">
        <f t="shared" si="61"/>
        <v>3845322.4451633757</v>
      </c>
      <c r="Y112" s="42">
        <f>NPV(B$2,X$4:X112)</f>
        <v>13596052.332194054</v>
      </c>
    </row>
    <row r="113" spans="1:25" x14ac:dyDescent="0.25">
      <c r="A113" s="59">
        <v>2099</v>
      </c>
      <c r="B113" s="55">
        <f t="shared" si="39"/>
        <v>2099</v>
      </c>
      <c r="C113" s="55">
        <f t="shared" si="40"/>
        <v>2103</v>
      </c>
      <c r="D113" s="152" t="s">
        <v>96</v>
      </c>
      <c r="E113" s="59">
        <v>189787.37804169368</v>
      </c>
      <c r="F113" s="84"/>
      <c r="H113" s="54">
        <f t="shared" si="62"/>
        <v>2114</v>
      </c>
      <c r="I113" s="4">
        <f t="shared" si="63"/>
        <v>3592.0114030491759</v>
      </c>
      <c r="J113" s="4">
        <f t="shared" si="63"/>
        <v>5173.2931648085041</v>
      </c>
      <c r="K113" s="4">
        <f t="shared" si="63"/>
        <v>0</v>
      </c>
      <c r="L113" s="4">
        <f t="shared" si="64"/>
        <v>8765.30456785768</v>
      </c>
      <c r="M113" s="60">
        <f t="shared" si="54"/>
        <v>1246.233122086157</v>
      </c>
      <c r="N113" s="60">
        <f t="shared" si="55"/>
        <v>787.55009798500259</v>
      </c>
      <c r="O113" s="60">
        <f t="shared" si="56"/>
        <v>579.84457763730938</v>
      </c>
      <c r="P113" s="5">
        <f t="shared" si="58"/>
        <v>8550711.1242411342</v>
      </c>
      <c r="Q113" s="5">
        <f t="shared" si="59"/>
        <v>975.5178565724392</v>
      </c>
      <c r="R113" s="60">
        <f t="shared" si="50"/>
        <v>385.74400000000003</v>
      </c>
      <c r="S113" s="42">
        <f>SUMIFS(F$27:F$37,B$27:B$37,"&lt;="&amp;$H113,C$27:C$37,"&gt;="&amp;H113)/L113/10</f>
        <v>7.539738292990374</v>
      </c>
      <c r="T113" s="42">
        <f t="shared" si="51"/>
        <v>6.7019895937692224</v>
      </c>
      <c r="U113" s="6">
        <f t="shared" si="60"/>
        <v>28.290017840600736</v>
      </c>
      <c r="V113" s="6">
        <f t="shared" si="65"/>
        <v>428.27574572736034</v>
      </c>
      <c r="W113" s="42">
        <f t="shared" si="66"/>
        <v>547.24211084507886</v>
      </c>
      <c r="X113" s="42">
        <f t="shared" si="61"/>
        <v>4796743.7739144489</v>
      </c>
      <c r="Y113" s="42">
        <f>NPV(B$2,X$4:X113)</f>
        <v>13598862.491724508</v>
      </c>
    </row>
    <row r="114" spans="1:25" x14ac:dyDescent="0.25">
      <c r="A114" s="59">
        <v>2104</v>
      </c>
      <c r="B114" s="55">
        <f t="shared" si="39"/>
        <v>2104</v>
      </c>
      <c r="C114" s="55">
        <f t="shared" si="40"/>
        <v>2108</v>
      </c>
      <c r="D114" s="152" t="s">
        <v>14</v>
      </c>
      <c r="E114" s="59">
        <v>29102262.534701094</v>
      </c>
      <c r="F114" s="84"/>
      <c r="H114" s="56">
        <f t="shared" si="62"/>
        <v>2115</v>
      </c>
      <c r="I114" s="4">
        <f t="shared" si="63"/>
        <v>3592.0114030491759</v>
      </c>
      <c r="J114" s="4">
        <f t="shared" si="63"/>
        <v>5173.2931648085041</v>
      </c>
      <c r="K114" s="4">
        <f t="shared" si="63"/>
        <v>0</v>
      </c>
      <c r="L114" s="4">
        <f t="shared" ref="L114" si="67">SUM(I114:K114)</f>
        <v>8765.30456785768</v>
      </c>
      <c r="M114" s="60">
        <f t="shared" si="54"/>
        <v>1252.4642876965877</v>
      </c>
      <c r="N114" s="60">
        <f t="shared" si="55"/>
        <v>791.48784847492755</v>
      </c>
      <c r="O114" s="60">
        <f t="shared" si="56"/>
        <v>582.74380052549589</v>
      </c>
      <c r="P114" s="5">
        <f t="shared" ref="P114" si="68">I114*M114+J114*N114+K114*O114</f>
        <v>8593464.679862339</v>
      </c>
      <c r="Q114" s="5">
        <f t="shared" ref="Q114" si="69">P114/L114</f>
        <v>980.39544585530132</v>
      </c>
      <c r="R114" s="60">
        <f t="shared" si="50"/>
        <v>385.74400000000003</v>
      </c>
      <c r="S114" s="42">
        <f>SUMIFS(F$27:F$37,B$27:B$37,"&lt;="&amp;$H114,C$27:C$37,"&gt;="&amp;H114)/L114/10</f>
        <v>7.539738292990374</v>
      </c>
      <c r="T114" s="42">
        <f t="shared" si="51"/>
        <v>6.7019895937692224</v>
      </c>
      <c r="U114" s="6">
        <f t="shared" ref="U114" si="70">B$5*(I114*M114+J114*N114+K114*O114)/L114</f>
        <v>28.431467929803738</v>
      </c>
      <c r="V114" s="6">
        <f t="shared" ref="V114" si="71">SUM(R114:U114)</f>
        <v>428.41719581656332</v>
      </c>
      <c r="W114" s="42">
        <f t="shared" ref="W114" si="72">Q114-V114</f>
        <v>551.978250038738</v>
      </c>
      <c r="X114" s="42">
        <f t="shared" ref="X114" si="73">W114*L114</f>
        <v>4838257.4764226386</v>
      </c>
      <c r="Y114" s="42">
        <f>NPV(B$2,X$4:X114)</f>
        <v>13601511.538661152</v>
      </c>
    </row>
    <row r="115" spans="1:25" x14ac:dyDescent="0.25">
      <c r="A115" s="59">
        <v>2104</v>
      </c>
      <c r="B115" s="55">
        <f t="shared" si="39"/>
        <v>2104</v>
      </c>
      <c r="C115" s="55">
        <f t="shared" si="40"/>
        <v>2108</v>
      </c>
      <c r="D115" s="152" t="s">
        <v>13</v>
      </c>
      <c r="E115" s="59">
        <v>18213341.653796706</v>
      </c>
      <c r="F115" s="84"/>
    </row>
    <row r="116" spans="1:25" x14ac:dyDescent="0.25">
      <c r="A116" s="59">
        <v>2104</v>
      </c>
      <c r="B116" s="55">
        <f t="shared" si="39"/>
        <v>2104</v>
      </c>
      <c r="C116" s="55">
        <f t="shared" si="40"/>
        <v>2108</v>
      </c>
      <c r="D116" s="152" t="s">
        <v>96</v>
      </c>
      <c r="E116" s="59">
        <v>123496.21713770022</v>
      </c>
      <c r="F116" s="84"/>
    </row>
    <row r="117" spans="1:25" x14ac:dyDescent="0.25">
      <c r="A117" s="59">
        <v>2109</v>
      </c>
      <c r="B117" s="55">
        <f t="shared" si="39"/>
        <v>2109</v>
      </c>
      <c r="C117" s="55">
        <f t="shared" si="40"/>
        <v>2113</v>
      </c>
      <c r="D117" s="152" t="s">
        <v>14</v>
      </c>
      <c r="E117" s="59">
        <v>21722998.314540375</v>
      </c>
      <c r="F117" s="84"/>
    </row>
    <row r="118" spans="1:25" x14ac:dyDescent="0.25">
      <c r="A118" s="59">
        <v>2109</v>
      </c>
      <c r="B118" s="55">
        <f t="shared" si="39"/>
        <v>2109</v>
      </c>
      <c r="C118" s="55">
        <f t="shared" si="40"/>
        <v>2113</v>
      </c>
      <c r="D118" s="152" t="s">
        <v>13</v>
      </c>
      <c r="E118" s="59">
        <v>14298815.177248837</v>
      </c>
      <c r="F118" s="84"/>
    </row>
    <row r="119" spans="1:25" x14ac:dyDescent="0.25">
      <c r="A119" s="59">
        <v>2109</v>
      </c>
      <c r="B119" s="55">
        <f t="shared" si="39"/>
        <v>2109</v>
      </c>
      <c r="C119" s="55">
        <f t="shared" si="40"/>
        <v>2113</v>
      </c>
      <c r="D119" s="152" t="s">
        <v>96</v>
      </c>
      <c r="E119" s="59">
        <v>390783.90407398419</v>
      </c>
    </row>
    <row r="120" spans="1:25" x14ac:dyDescent="0.25">
      <c r="A120" s="59">
        <v>2114</v>
      </c>
      <c r="B120" s="55">
        <f t="shared" si="39"/>
        <v>2114</v>
      </c>
      <c r="C120" s="55">
        <f t="shared" si="40"/>
        <v>2118</v>
      </c>
      <c r="D120" s="152" t="s">
        <v>14</v>
      </c>
      <c r="E120" s="59">
        <v>25866465.824042521</v>
      </c>
      <c r="G120" s="58"/>
    </row>
    <row r="121" spans="1:25" x14ac:dyDescent="0.25">
      <c r="A121" s="59">
        <v>2114</v>
      </c>
      <c r="B121" s="55">
        <f t="shared" si="39"/>
        <v>2114</v>
      </c>
      <c r="C121" s="55">
        <f t="shared" si="40"/>
        <v>2118</v>
      </c>
      <c r="D121" s="152" t="s">
        <v>13</v>
      </c>
      <c r="E121" s="59">
        <v>17960057.015245877</v>
      </c>
    </row>
    <row r="122" spans="1:25" x14ac:dyDescent="0.25">
      <c r="A122" s="59">
        <v>2114</v>
      </c>
      <c r="B122" s="55">
        <f t="shared" si="39"/>
        <v>2114</v>
      </c>
      <c r="C122" s="55">
        <f t="shared" si="40"/>
        <v>2118</v>
      </c>
      <c r="D122" s="152" t="s">
        <v>96</v>
      </c>
      <c r="E122" s="59">
        <v>59865.654152367024</v>
      </c>
    </row>
    <row r="124" spans="1:25" x14ac:dyDescent="0.25">
      <c r="A124" s="57" t="s">
        <v>94</v>
      </c>
    </row>
  </sheetData>
  <mergeCells count="8">
    <mergeCell ref="AA8:AE14"/>
    <mergeCell ref="A39:F39"/>
    <mergeCell ref="A12:E12"/>
    <mergeCell ref="I1:L1"/>
    <mergeCell ref="M1:O1"/>
    <mergeCell ref="A25:F25"/>
    <mergeCell ref="A1:D1"/>
    <mergeCell ref="A6:A7"/>
  </mergeCells>
  <pageMargins left="0.25" right="0.25" top="0.75" bottom="0.75"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29"/>
  <sheetViews>
    <sheetView workbookViewId="0">
      <selection activeCell="K21" sqref="K21"/>
    </sheetView>
  </sheetViews>
  <sheetFormatPr defaultRowHeight="15" x14ac:dyDescent="0.25"/>
  <cols>
    <col min="12" max="12" width="10" customWidth="1"/>
    <col min="13" max="13" width="10.125" bestFit="1" customWidth="1"/>
    <col min="19" max="19" width="9.875" bestFit="1" customWidth="1"/>
  </cols>
  <sheetData>
    <row r="1" spans="2:19" x14ac:dyDescent="0.25">
      <c r="B1" s="130" t="s">
        <v>98</v>
      </c>
    </row>
    <row r="2" spans="2:19" x14ac:dyDescent="0.25">
      <c r="B2" t="s">
        <v>91</v>
      </c>
    </row>
    <row r="3" spans="2:19" x14ac:dyDescent="0.25">
      <c r="B3" t="s">
        <v>82</v>
      </c>
    </row>
    <row r="4" spans="2:19" x14ac:dyDescent="0.25">
      <c r="B4" t="s">
        <v>93</v>
      </c>
    </row>
    <row r="5" spans="2:19" x14ac:dyDescent="0.25">
      <c r="B5" t="s">
        <v>92</v>
      </c>
    </row>
    <row r="6" spans="2:19" ht="15.75" thickBot="1" x14ac:dyDescent="0.3">
      <c r="B6" t="s">
        <v>83</v>
      </c>
    </row>
    <row r="7" spans="2:19" x14ac:dyDescent="0.25">
      <c r="B7" s="145" t="s">
        <v>97</v>
      </c>
      <c r="C7" s="145"/>
      <c r="D7" s="145"/>
      <c r="E7" s="145"/>
      <c r="F7" s="145"/>
      <c r="G7" s="145"/>
      <c r="H7" s="145"/>
      <c r="I7" s="145"/>
      <c r="J7" s="145"/>
      <c r="K7" s="145"/>
      <c r="L7" s="145"/>
      <c r="M7" s="145"/>
      <c r="N7" s="145"/>
      <c r="O7" s="145"/>
      <c r="P7" s="118" t="s">
        <v>80</v>
      </c>
      <c r="Q7" s="119" t="s">
        <v>72</v>
      </c>
      <c r="R7" s="120" t="s">
        <v>86</v>
      </c>
      <c r="S7" s="107"/>
    </row>
    <row r="8" spans="2:19" x14ac:dyDescent="0.25">
      <c r="B8" s="145"/>
      <c r="C8" s="145"/>
      <c r="D8" s="145"/>
      <c r="E8" s="145"/>
      <c r="F8" s="145"/>
      <c r="G8" s="145"/>
      <c r="H8" s="145"/>
      <c r="I8" s="145"/>
      <c r="J8" s="145"/>
      <c r="K8" s="145"/>
      <c r="L8" s="145"/>
      <c r="M8" s="145"/>
      <c r="N8" s="145"/>
      <c r="O8" s="145"/>
      <c r="P8" s="105" t="s">
        <v>68</v>
      </c>
      <c r="Q8" s="104">
        <v>85</v>
      </c>
      <c r="R8" s="106">
        <v>480</v>
      </c>
      <c r="S8" s="108">
        <f>Q8*R8</f>
        <v>40800</v>
      </c>
    </row>
    <row r="9" spans="2:19" x14ac:dyDescent="0.25">
      <c r="B9" s="145"/>
      <c r="C9" s="145"/>
      <c r="D9" s="145"/>
      <c r="E9" s="145"/>
      <c r="F9" s="145"/>
      <c r="G9" s="145"/>
      <c r="H9" s="145"/>
      <c r="I9" s="145"/>
      <c r="J9" s="145"/>
      <c r="K9" s="145"/>
      <c r="L9" s="145"/>
      <c r="M9" s="145"/>
      <c r="N9" s="145"/>
      <c r="O9" s="145"/>
      <c r="P9" s="105" t="s">
        <v>79</v>
      </c>
      <c r="Q9" s="104">
        <v>55</v>
      </c>
      <c r="R9" s="106">
        <v>480</v>
      </c>
      <c r="S9" s="108">
        <f>Q9*R9</f>
        <v>26400</v>
      </c>
    </row>
    <row r="10" spans="2:19" x14ac:dyDescent="0.25">
      <c r="B10" s="145"/>
      <c r="C10" s="145"/>
      <c r="D10" s="145"/>
      <c r="E10" s="145"/>
      <c r="F10" s="145"/>
      <c r="G10" s="145"/>
      <c r="H10" s="145"/>
      <c r="I10" s="145"/>
      <c r="J10" s="145"/>
      <c r="K10" s="145"/>
      <c r="L10" s="145"/>
      <c r="M10" s="145"/>
      <c r="N10" s="145"/>
      <c r="O10" s="145"/>
      <c r="P10" s="105" t="s">
        <v>69</v>
      </c>
      <c r="Q10" s="103"/>
      <c r="R10" s="106"/>
      <c r="S10" s="109">
        <v>4000</v>
      </c>
    </row>
    <row r="11" spans="2:19" x14ac:dyDescent="0.25">
      <c r="B11" s="145"/>
      <c r="C11" s="145"/>
      <c r="D11" s="145"/>
      <c r="E11" s="145"/>
      <c r="F11" s="145"/>
      <c r="G11" s="145"/>
      <c r="H11" s="145"/>
      <c r="I11" s="145"/>
      <c r="J11" s="145"/>
      <c r="K11" s="145"/>
      <c r="L11" s="145"/>
      <c r="M11" s="145"/>
      <c r="N11" s="145"/>
      <c r="O11" s="145"/>
      <c r="P11" s="105" t="s">
        <v>70</v>
      </c>
      <c r="Q11" s="103"/>
      <c r="R11" s="106"/>
      <c r="S11" s="109">
        <v>2500</v>
      </c>
    </row>
    <row r="12" spans="2:19" x14ac:dyDescent="0.25">
      <c r="P12" s="105" t="s">
        <v>71</v>
      </c>
      <c r="Q12" s="103"/>
      <c r="R12" s="106"/>
      <c r="S12" s="109">
        <v>2500</v>
      </c>
    </row>
    <row r="13" spans="2:19" ht="15.75" thickBot="1" x14ac:dyDescent="0.3">
      <c r="P13" s="146" t="s">
        <v>73</v>
      </c>
      <c r="Q13" s="147"/>
      <c r="R13" s="148"/>
      <c r="S13" s="121">
        <f>SUM(S8:S12)</f>
        <v>76200</v>
      </c>
    </row>
    <row r="14" spans="2:19" ht="15.75" thickBot="1" x14ac:dyDescent="0.3">
      <c r="K14" s="115" t="s">
        <v>76</v>
      </c>
      <c r="L14" s="116" t="s">
        <v>85</v>
      </c>
      <c r="M14" s="116" t="s">
        <v>77</v>
      </c>
      <c r="N14" s="117" t="s">
        <v>78</v>
      </c>
      <c r="P14" s="149" t="s">
        <v>74</v>
      </c>
      <c r="Q14" s="150"/>
      <c r="R14" s="151"/>
      <c r="S14" s="110">
        <f>S13/2500</f>
        <v>30.48</v>
      </c>
    </row>
    <row r="15" spans="2:19" ht="15.75" thickBot="1" x14ac:dyDescent="0.3">
      <c r="B15" t="s">
        <v>75</v>
      </c>
      <c r="K15" s="111">
        <f>Q8</f>
        <v>85</v>
      </c>
      <c r="L15" s="112">
        <v>8</v>
      </c>
      <c r="M15" s="113">
        <f>K15*L15*12</f>
        <v>8160</v>
      </c>
      <c r="N15" s="114">
        <f>M15/2500</f>
        <v>3.2639999999999998</v>
      </c>
    </row>
    <row r="16" spans="2:19" x14ac:dyDescent="0.25">
      <c r="B16" t="s">
        <v>84</v>
      </c>
    </row>
    <row r="17" spans="2:15" x14ac:dyDescent="0.25">
      <c r="B17" t="s">
        <v>87</v>
      </c>
    </row>
    <row r="18" spans="2:15" x14ac:dyDescent="0.25">
      <c r="B18" t="s">
        <v>90</v>
      </c>
    </row>
    <row r="19" spans="2:15" x14ac:dyDescent="0.25">
      <c r="B19" t="s">
        <v>89</v>
      </c>
    </row>
    <row r="20" spans="2:15" x14ac:dyDescent="0.25">
      <c r="B20" t="s">
        <v>88</v>
      </c>
    </row>
    <row r="22" spans="2:15" x14ac:dyDescent="0.25">
      <c r="B22" s="145" t="s">
        <v>99</v>
      </c>
      <c r="C22" s="145"/>
      <c r="D22" s="145"/>
      <c r="E22" s="145"/>
      <c r="F22" s="145"/>
      <c r="G22" s="145"/>
      <c r="H22" s="145"/>
      <c r="I22" s="145"/>
      <c r="J22" s="145"/>
      <c r="K22" s="145"/>
      <c r="L22" s="145"/>
      <c r="M22" s="145"/>
      <c r="N22" s="145"/>
      <c r="O22" s="145"/>
    </row>
    <row r="23" spans="2:15" x14ac:dyDescent="0.25">
      <c r="B23" s="145"/>
      <c r="C23" s="145"/>
      <c r="D23" s="145"/>
      <c r="E23" s="145"/>
      <c r="F23" s="145"/>
      <c r="G23" s="145"/>
      <c r="H23" s="145"/>
      <c r="I23" s="145"/>
      <c r="J23" s="145"/>
      <c r="K23" s="145"/>
      <c r="L23" s="145"/>
      <c r="M23" s="145"/>
      <c r="N23" s="145"/>
      <c r="O23" s="145"/>
    </row>
    <row r="24" spans="2:15" x14ac:dyDescent="0.25">
      <c r="B24" s="145"/>
      <c r="C24" s="145"/>
      <c r="D24" s="145"/>
      <c r="E24" s="145"/>
      <c r="F24" s="145"/>
      <c r="G24" s="145"/>
      <c r="H24" s="145"/>
      <c r="I24" s="145"/>
      <c r="J24" s="145"/>
      <c r="K24" s="145"/>
      <c r="L24" s="145"/>
      <c r="M24" s="145"/>
      <c r="N24" s="145"/>
      <c r="O24" s="145"/>
    </row>
    <row r="25" spans="2:15" x14ac:dyDescent="0.25">
      <c r="B25" s="145"/>
      <c r="C25" s="145"/>
      <c r="D25" s="145"/>
      <c r="E25" s="145"/>
      <c r="F25" s="145"/>
      <c r="G25" s="145"/>
      <c r="H25" s="145"/>
      <c r="I25" s="145"/>
      <c r="J25" s="145"/>
      <c r="K25" s="145"/>
      <c r="L25" s="145"/>
      <c r="M25" s="145"/>
      <c r="N25" s="145"/>
      <c r="O25" s="145"/>
    </row>
    <row r="26" spans="2:15" x14ac:dyDescent="0.25">
      <c r="B26" s="145"/>
      <c r="C26" s="145"/>
      <c r="D26" s="145"/>
      <c r="E26" s="145"/>
      <c r="F26" s="145"/>
      <c r="G26" s="145"/>
      <c r="H26" s="145"/>
      <c r="I26" s="145"/>
      <c r="J26" s="145"/>
      <c r="K26" s="145"/>
      <c r="L26" s="145"/>
      <c r="M26" s="145"/>
      <c r="N26" s="145"/>
      <c r="O26" s="145"/>
    </row>
    <row r="27" spans="2:15" x14ac:dyDescent="0.25">
      <c r="B27" s="145"/>
      <c r="C27" s="145"/>
      <c r="D27" s="145"/>
      <c r="E27" s="145"/>
      <c r="F27" s="145"/>
      <c r="G27" s="145"/>
      <c r="H27" s="145"/>
      <c r="I27" s="145"/>
      <c r="J27" s="145"/>
      <c r="K27" s="145"/>
      <c r="L27" s="145"/>
      <c r="M27" s="145"/>
      <c r="N27" s="145"/>
      <c r="O27" s="145"/>
    </row>
    <row r="28" spans="2:15" x14ac:dyDescent="0.25">
      <c r="B28" s="145"/>
      <c r="C28" s="145"/>
      <c r="D28" s="145"/>
      <c r="E28" s="145"/>
      <c r="F28" s="145"/>
      <c r="G28" s="145"/>
      <c r="H28" s="145"/>
      <c r="I28" s="145"/>
      <c r="J28" s="145"/>
      <c r="K28" s="145"/>
      <c r="L28" s="145"/>
      <c r="M28" s="145"/>
      <c r="N28" s="145"/>
      <c r="O28" s="145"/>
    </row>
    <row r="29" spans="2:15" x14ac:dyDescent="0.25">
      <c r="B29" s="145"/>
      <c r="C29" s="145"/>
      <c r="D29" s="145"/>
      <c r="E29" s="145"/>
      <c r="F29" s="145"/>
      <c r="G29" s="145"/>
      <c r="H29" s="145"/>
      <c r="I29" s="145"/>
      <c r="J29" s="145"/>
      <c r="K29" s="145"/>
      <c r="L29" s="145"/>
      <c r="M29" s="145"/>
      <c r="N29" s="145"/>
      <c r="O29" s="145"/>
    </row>
  </sheetData>
  <mergeCells count="4">
    <mergeCell ref="B7:O11"/>
    <mergeCell ref="P13:R13"/>
    <mergeCell ref="P14:R14"/>
    <mergeCell ref="B22:O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FinancialFeasAnalysis</vt:lpstr>
      <vt:lpstr>AssumptionSubstantiations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dc:creator>
  <cp:lastModifiedBy>lauren fety</cp:lastModifiedBy>
  <cp:lastPrinted>2016-02-02T17:02:00Z</cp:lastPrinted>
  <dcterms:created xsi:type="dcterms:W3CDTF">2013-08-28T16:08:35Z</dcterms:created>
  <dcterms:modified xsi:type="dcterms:W3CDTF">2016-12-23T00:49:39Z</dcterms:modified>
</cp:coreProperties>
</file>