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ThisWorkbook" autoCompressPictures="0"/>
  <mc:AlternateContent xmlns:mc="http://schemas.openxmlformats.org/markup-compatibility/2006">
    <mc:Choice Requires="x15">
      <x15ac:absPath xmlns:x15ac="http://schemas.microsoft.com/office/spreadsheetml/2010/11/ac" url="C:\PERSONAL\PREDIOS\San.Diego\CarbonProject\CarbonProjectESDT\CAR-Project-Documents\INFORME SEGUNDO PERIODO 2022-2023\"/>
    </mc:Choice>
  </mc:AlternateContent>
  <xr:revisionPtr revIDLastSave="0" documentId="13_ncr:1_{40CA791E-09A6-4711-9276-481885B5FADF}" xr6:coauthVersionLast="47" xr6:coauthVersionMax="47" xr10:uidLastSave="{00000000-0000-0000-0000-000000000000}"/>
  <workbookProtection workbookAlgorithmName="SHA-512" workbookHashValue="C01E9jEuVGYsqOxVe75d5QIW90Gb/xeGyAi5hRG7RsvhkR+bVy9SMF6jDliWcw0pGrfOj2L+wmCKU5teHagejA==" workbookSaltValue="HQ9gmwTx0o1obVtIcGWOqw==" workbookSpinCount="100000" lockStructure="1"/>
  <bookViews>
    <workbookView xWindow="28680" yWindow="-120" windowWidth="29040" windowHeight="15720" firstSheet="1" activeTab="1" xr2:uid="{00000000-000D-0000-FFFF-FFFF00000000}"/>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_xlnm.Print_Area" localSheetId="1">'Hoja De Calculo'!$A$8:$L$70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E55" i="6" s="1"/>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55" i="6"/>
  <c r="E67" i="6"/>
  <c r="H49" i="6"/>
  <c r="O24" i="15"/>
  <c r="O26" i="15"/>
  <c r="O22" i="15"/>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J30" i="15" l="1"/>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I68" i="6"/>
  <c r="R45" i="6"/>
  <c r="Q19" i="15" s="1"/>
  <c r="T25" i="6"/>
  <c r="U26" i="6" s="1"/>
  <c r="N36" i="6"/>
  <c r="N38" i="6" s="1"/>
  <c r="O27" i="6"/>
  <c r="M41" i="6"/>
  <c r="L21" i="15" s="1"/>
  <c r="R43" i="6"/>
  <c r="R66" i="6"/>
  <c r="R10" i="6"/>
  <c r="S9" i="6" s="1"/>
  <c r="Q69" i="6"/>
  <c r="P29" i="15" l="1"/>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X64" i="6" l="1"/>
  <c r="AD43" i="15"/>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Y64" i="6" l="1"/>
  <c r="AF43" i="15"/>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U57" i="6"/>
  <c r="AV47" i="6"/>
  <c r="BA19" i="6"/>
  <c r="AZ35" i="6"/>
  <c r="AX27" i="6"/>
  <c r="AX36" i="6" s="1"/>
  <c r="AX45" i="6"/>
  <c r="AW69" i="6"/>
  <c r="AX43" i="6"/>
  <c r="AX66" i="6"/>
  <c r="AX10" i="6"/>
  <c r="AY9" i="6" s="1"/>
  <c r="BA26" i="6"/>
  <c r="BA25" i="6"/>
  <c r="AW40" i="15" l="1"/>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H32" i="15" s="1"/>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27" i="15" l="1"/>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J61" i="15" s="1"/>
  <c r="BI43" i="15"/>
  <c r="BJ43" i="15" s="1"/>
  <c r="BI60" i="15"/>
  <c r="BJ60" i="15" s="1"/>
  <c r="BI53" i="15"/>
  <c r="BI46" i="15"/>
  <c r="BI47" i="15"/>
  <c r="BI52" i="15"/>
  <c r="BI42" i="15"/>
  <c r="BJ42" i="15" s="1"/>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39" i="15" l="1"/>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S53" i="15" s="1"/>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76" i="15" l="1"/>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T26" i="15" s="1"/>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S89" i="15" l="1"/>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G47" i="6"/>
  <c r="CI36" i="6"/>
  <c r="CK19" i="6"/>
  <c r="CJ35" i="6"/>
  <c r="CF57" i="6"/>
  <c r="CH45" i="6"/>
  <c r="CG69" i="6"/>
  <c r="CH66" i="6"/>
  <c r="CH10" i="6"/>
  <c r="CI9" i="6" s="1"/>
  <c r="CH43" i="6"/>
  <c r="CJ27" i="6"/>
  <c r="CK25" i="6"/>
  <c r="CK26" i="6"/>
  <c r="CG27" i="15" l="1"/>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21" i="15"/>
  <c r="CS47" i="6"/>
  <c r="CR48" i="6"/>
  <c r="CU36" i="6"/>
  <c r="CW19" i="6"/>
  <c r="CV35" i="6"/>
  <c r="CR57" i="6"/>
  <c r="CT45" i="6"/>
  <c r="CT43" i="6"/>
  <c r="CT66" i="6"/>
  <c r="CT10" i="6"/>
  <c r="CU9" i="6" s="1"/>
  <c r="CS69" i="6"/>
  <c r="CV27" i="6"/>
  <c r="CW26" i="6"/>
  <c r="CW25" i="6"/>
  <c r="CS23" i="15" l="1"/>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S48" i="6"/>
  <c r="CV36" i="6"/>
  <c r="CX19" i="6"/>
  <c r="CW35" i="6"/>
  <c r="CS57" i="6"/>
  <c r="CU45" i="6"/>
  <c r="CU43" i="6"/>
  <c r="CU10" i="6"/>
  <c r="CV9" i="6" s="1"/>
  <c r="CU66" i="6"/>
  <c r="CT69" i="6"/>
  <c r="CW27" i="6"/>
  <c r="CX26" i="6"/>
  <c r="CX25" i="6"/>
  <c r="CT24" i="15" l="1"/>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1" i="6"/>
  <c r="CU21" i="15" s="1"/>
  <c r="CU19" i="15"/>
  <c r="CV24" i="15" s="1"/>
  <c r="CT21" i="15"/>
  <c r="CW38" i="6"/>
  <c r="CW39" i="6" s="1"/>
  <c r="CV42" i="6"/>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X42" i="6" s="1"/>
  <c r="CV47" i="6"/>
  <c r="CV48" i="6" s="1"/>
  <c r="CW41" i="6"/>
  <c r="CV21" i="15" s="1"/>
  <c r="CV19" i="15"/>
  <c r="CW22" i="15" s="1"/>
  <c r="CU119" i="15"/>
  <c r="CV119" i="15" s="1"/>
  <c r="CW21" i="15"/>
  <c r="CW42" i="6"/>
  <c r="CT118" i="15"/>
  <c r="CU118" i="15" s="1"/>
  <c r="CW24" i="15"/>
  <c r="CX45" i="6"/>
  <c r="CW69" i="6"/>
  <c r="CX10" i="6"/>
  <c r="CX43" i="6"/>
  <c r="CX66" i="6"/>
  <c r="CW26" i="15" l="1"/>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54" i="6"/>
  <c r="AV50" i="6"/>
  <c r="AV51" i="6" s="1"/>
  <c r="AU51" i="6"/>
  <c r="AU58" i="6"/>
  <c r="AU49" i="6"/>
  <c r="AS71" i="6"/>
  <c r="AS68" i="6"/>
  <c r="AR20" i="14"/>
  <c r="AS63" i="6"/>
  <c r="AV49" i="6" l="1"/>
  <c r="AV58" i="6"/>
  <c r="AU52" i="6"/>
  <c r="AU53" i="6"/>
  <c r="AV53" i="6" s="1"/>
  <c r="AW50" i="6"/>
  <c r="AV52" i="6"/>
  <c r="AV61" i="6" s="1"/>
  <c r="AS64" i="6"/>
  <c r="AT64" i="6" s="1"/>
  <c r="AS67" i="6"/>
  <c r="AS70" i="6"/>
  <c r="AR63" i="14"/>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c r="BF20" i="14" l="1"/>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49" i="6"/>
  <c r="BK50" i="6"/>
  <c r="BK51" i="6" s="1"/>
  <c r="BK52" i="6" s="1"/>
  <c r="BK54" i="6" s="1"/>
  <c r="BH67" i="6"/>
  <c r="BH70" i="6"/>
  <c r="BJ58" i="6"/>
  <c r="BH64" i="6"/>
  <c r="BI64" i="6" s="1"/>
  <c r="BJ53" i="6"/>
  <c r="BI70" i="6"/>
  <c r="BI67" i="6"/>
  <c r="BJ68" i="6"/>
  <c r="BI20" i="14"/>
  <c r="BJ71" i="6"/>
  <c r="BK58" i="6" l="1"/>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I80" i="14"/>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c r="BU20" i="14" l="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C68" i="6"/>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71" i="6" l="1"/>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D68" i="6"/>
  <c r="CF61" i="6"/>
  <c r="CF71" i="6" s="1"/>
  <c r="CF49" i="6"/>
  <c r="CF58" i="6"/>
  <c r="CF53" i="6"/>
  <c r="CE70" i="6"/>
  <c r="CE67" i="6"/>
  <c r="CF68" i="6" l="1"/>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I54" i="6" s="1"/>
  <c r="CH52" i="6"/>
  <c r="CH54" i="6" s="1"/>
  <c r="CH53" i="6"/>
  <c r="CH49" i="6"/>
  <c r="CH58" i="6"/>
  <c r="CG64" i="6" l="1"/>
  <c r="CG70" i="6"/>
  <c r="CH61" i="6"/>
  <c r="CG20" i="14" s="1"/>
  <c r="CG104" i="14" s="1"/>
  <c r="CI61" i="6"/>
  <c r="CI63" i="6" s="1"/>
  <c r="CI70" i="6" s="1"/>
  <c r="CI58" i="6"/>
  <c r="CH68" i="6"/>
  <c r="CI49" i="6"/>
  <c r="CI53" i="6"/>
  <c r="CJ50" i="6"/>
  <c r="CI68" i="6" l="1"/>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c r="CL54" i="6" l="1"/>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J68" i="6"/>
  <c r="CK54" i="6"/>
  <c r="CL68" i="6" l="1"/>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l="1"/>
  <c r="CX63" i="6"/>
  <c r="CX64" i="6" s="1"/>
  <c r="CX71" i="6"/>
  <c r="CX67" i="6" l="1"/>
  <c r="CX70" i="6"/>
</calcChain>
</file>

<file path=xl/sharedStrings.xml><?xml version="1.0" encoding="utf-8"?>
<sst xmlns="http://schemas.openxmlformats.org/spreadsheetml/2006/main" count="483" uniqueCount="331">
  <si>
    <t>Hoja de Cálculo de Monitoreo de Carbono del Protocolo Forestal para México  v3.0 </t>
  </si>
  <si>
    <t>Protocolo Forestal para México v3.0 (octubre de 2022)</t>
  </si>
  <si>
    <t>DESCRIPCION GENERAL </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</si>
  <si>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</si>
  <si>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</si>
  <si>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</si>
  <si>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</si>
  <si>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</si>
  <si>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</si>
  <si>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</si>
  <si>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</si>
  <si>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</si>
  <si>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</si>
  <si>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</si>
  <si>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</si>
  <si>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</si>
  <si>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</si>
  <si>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</si>
  <si>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</si>
  <si>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</si>
  <si>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</si>
  <si>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</si>
  <si>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</si>
  <si>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</si>
  <si>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</si>
  <si>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</si>
  <si>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</si>
  <si>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</si>
  <si>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</si>
  <si>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</si>
  <si>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</si>
  <si>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</si>
  <si>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</si>
  <si>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</si>
  <si>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</si>
  <si>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</si>
  <si>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</si>
  <si>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</si>
  <si>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</si>
  <si>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</si>
  <si>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</si>
  <si>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</si>
  <si>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</si>
  <si>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</si>
  <si>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</si>
  <si>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</si>
  <si>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</si>
  <si>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</si>
  <si>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</si>
  <si>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</si>
  <si>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</si>
  <si>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</si>
  <si>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</si>
  <si>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</si>
  <si>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</si>
  <si>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</si>
  <si>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</si>
  <si>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</si>
  <si>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</si>
  <si>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</si>
  <si>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</si>
  <si>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</si>
  <si>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</si>
  <si>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</si>
  <si>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</si>
  <si>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</si>
  <si>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</si>
  <si>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</si>
  <si>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</si>
  <si>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</si>
  <si>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</si>
  <si>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</si>
  <si>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</si>
  <si>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</si>
  <si>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</si>
  <si>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</si>
  <si>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</si>
  <si>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</si>
  <si>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</si>
  <si>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</si>
  <si>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</si>
  <si>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</si>
  <si>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</si>
  <si>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</si>
  <si>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</si>
  <si>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</si>
  <si>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</si>
  <si>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</si>
  <si>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</si>
  <si>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</si>
  <si>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</si>
  <si>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</si>
  <si>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</si>
  <si>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</si>
  <si>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</si>
  <si>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</si>
  <si>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</si>
  <si>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</si>
  <si>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</si>
  <si>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</si>
  <si>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</si>
  <si>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</si>
  <si>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</si>
  <si>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</si>
  <si>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</si>
  <si>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</si>
  <si>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</si>
  <si>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</si>
  <si>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</si>
  <si>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</si>
  <si>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</si>
  <si>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</si>
  <si>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</si>
  <si>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</si>
  <si>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</si>
  <si>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</si>
  <si>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</si>
  <si>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</si>
  <si>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</si>
  <si>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</si>
  <si>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</si>
  <si>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</si>
  <si>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</si>
  <si>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</si>
  <si>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</si>
  <si>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</si>
  <si>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</si>
  <si>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</si>
  <si>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</si>
  <si>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</si>
  <si>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</si>
  <si>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</si>
  <si>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</si>
  <si>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</si>
  <si>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</si>
  <si>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</si>
  <si>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</si>
  <si>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</si>
  <si>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</si>
  <si>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</si>
  <si>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</si>
  <si>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</si>
  <si>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</si>
  <si>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</si>
  <si>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</si>
  <si>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</si>
  <si>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</si>
  <si>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</si>
  <si>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</si>
  <si>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</si>
  <si>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</si>
  <si>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</si>
  <si>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</si>
  <si>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</si>
  <si>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</si>
  <si>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</si>
  <si>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</si>
  <si>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</si>
  <si>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</si>
  <si>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</si>
  <si>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</si>
  <si>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</si>
  <si>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</si>
  <si>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</si>
  <si>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</si>
  <si>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</si>
  <si>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</si>
  <si>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</si>
  <si>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</si>
  <si>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</si>
  <si>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</si>
  <si>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</si>
  <si>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</si>
  <si>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</si>
  <si>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</si>
  <si>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</si>
  <si>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</si>
  <si>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</si>
  <si>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</si>
  <si>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</si>
  <si>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</si>
  <si>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</si>
  <si>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</si>
  <si>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</si>
  <si>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</si>
  <si>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</si>
  <si>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</si>
  <si>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</si>
  <si>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</si>
  <si>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</si>
  <si>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</si>
  <si>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</si>
  <si>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</si>
  <si>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</si>
  <si>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</si>
  <si>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</si>
  <si>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</si>
  <si>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</si>
  <si>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</si>
  <si>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</si>
  <si>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</si>
  <si>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</si>
  <si>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</si>
  <si>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</si>
  <si>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</si>
  <si>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</si>
  <si>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</si>
  <si>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</si>
  <si>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</si>
  <si>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</si>
  <si>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</si>
  <si>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</si>
  <si>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</si>
  <si>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</si>
  <si>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</si>
  <si>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</si>
  <si>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</si>
  <si>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</si>
  <si>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</si>
  <si>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</si>
  <si>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</si>
  <si>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</si>
  <si>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</si>
  <si>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</si>
  <si>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</si>
  <si>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</si>
  <si>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</si>
  <si>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</si>
  <si>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</si>
  <si>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</si>
  <si>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</si>
  <si>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</si>
  <si>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</si>
  <si>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</si>
  <si>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</si>
  <si>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</si>
  <si>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</si>
  <si>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</si>
  <si>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</si>
  <si>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</si>
  <si>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</si>
  <si>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</si>
  <si>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</si>
  <si>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</si>
  <si>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</si>
  <si>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</si>
  <si>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</si>
  <si>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</si>
  <si>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</si>
  <si>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</si>
  <si>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</si>
  <si>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</si>
  <si>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</si>
  <si>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</si>
  <si>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Propiedad Pública</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</si>
  <si>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</si>
  <si>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</si>
  <si>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</si>
  <si>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</si>
  <si>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</si>
  <si>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</si>
  <si>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</si>
  <si>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</si>
  <si>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Áreas protegidas federales o estatales</t>
  </si>
  <si>
    <t>Sobreexplotación</t>
  </si>
  <si>
    <t>Proyectos con Áreas de Actividad de MFM: tierras públicas o comunales/ejidales</t>
  </si>
  <si>
    <t>Social</t>
  </si>
  <si>
    <t>Tierras Públicas y Privadas</t>
  </si>
  <si>
    <t>Política</t>
  </si>
  <si>
    <t>Tierras Públicas</t>
  </si>
  <si>
    <t>Incendio, Enfermedad o Brotes de Insectos</t>
  </si>
  <si>
    <t>Proyectos que no han realizado trabajos de reducción de riesgo por incendios</t>
  </si>
  <si>
    <t>Otros Eventos Catastróficos</t>
  </si>
  <si>
    <t>Contribución Por defeto de Riesgo por Otros Eventos Catastróficos</t>
  </si>
  <si>
    <t>Total</t>
  </si>
  <si>
    <t>Tierras Privadas</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</si>
  <si>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</si>
  <si>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</si>
  <si>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</si>
  <si>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</si>
  <si>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 xml:space="preserve">La selección de la identificación de riesgo no corresponde al tipo de propiedad seleccionada. </t>
  </si>
  <si>
    <t>Tierras públicas, comunales/ejidales (áreas no protegidas)</t>
  </si>
  <si>
    <t>Tierras privadas (áreas no protegidas)</t>
  </si>
  <si>
    <t>Proyectos con Áreas de Actividad de MFM: tierras privadas</t>
  </si>
  <si>
    <t>Proyectos con Áreas de Actividad que no son MFM</t>
  </si>
  <si>
    <t>Proyectos Comunales y Ejidales que han realizado actividades de mitigación de riesgo social</t>
  </si>
  <si>
    <t>Proyectos Comunales y Ejidales que no han realizado actividades de mitigación de riesgo social</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</si>
  <si>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</si>
  <si>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</si>
  <si>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</si>
  <si>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</si>
  <si>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</si>
  <si>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</si>
  <si>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</si>
  <si>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</si>
  <si>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</si>
  <si>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</si>
  <si>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</si>
  <si>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</si>
  <si>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</si>
  <si>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</si>
  <si>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</si>
  <si>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</si>
  <si>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</si>
  <si>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</si>
  <si>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</si>
  <si>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</si>
  <si>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</si>
  <si>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</si>
  <si>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</si>
  <si>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</si>
  <si>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</si>
  <si>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</si>
  <si>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</si>
  <si>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</si>
  <si>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</si>
  <si>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</si>
  <si>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</si>
  <si>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</si>
  <si>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</si>
  <si>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</si>
  <si>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</si>
  <si>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</si>
  <si>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</si>
  <si>
    <t>Areas de Actividad</t>
  </si>
  <si>
    <t>&gt;15</t>
  </si>
  <si>
    <t>Numero de Áreas de Actividad en el agregado o proyecto en total        (lo cual es mayor)</t>
  </si>
  <si>
    <t>*Solo incluir Áreas de Actividad que utilizan la metadologia del inventario del campo</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</si>
  <si>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</si>
  <si>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Proyectos privados y comunales: Riesgo político por defecto para México</t>
  </si>
  <si>
    <t>23/112023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</si>
</sst>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heck Cell" xfId="1" builtinId="23"/>
    <cellStyle name="Comma" xfId="9" builtinId="3"/>
    <cellStyle name="Comma 2" xfId="4" xr:uid="{00000000-0005-0000-0000-000002000000}"/>
    <cellStyle name="Comma 2 2" xfId="15" xr:uid="{00000000-0005-0000-0000-000003000000}"/>
    <cellStyle name="Comma 3" xfId="5" xr:uid="{00000000-0005-0000-0000-000004000000}"/>
    <cellStyle name="Followed Hyperlink" xfId="21" builtinId="9" hidden="1"/>
    <cellStyle name="Followed Hyperlink" xfId="27" builtinId="9" hidden="1"/>
    <cellStyle name="Followed Hyperlink" xfId="29" builtinId="9" hidden="1"/>
    <cellStyle name="Followed Hyperlink" xfId="12" builtinId="9" hidden="1"/>
    <cellStyle name="Followed Hyperlink" xfId="19" builtinId="9" hidden="1"/>
    <cellStyle name="Followed Hyperlink" xfId="31" builtinId="9" hidden="1"/>
    <cellStyle name="Followed Hyperlink" xfId="23" builtinId="9" hidden="1"/>
    <cellStyle name="Followed Hyperlink" xfId="17" builtinId="9" hidden="1"/>
    <cellStyle name="Followed Hyperlink" xfId="25" builtinId="9" hidden="1"/>
    <cellStyle name="Hyperlink" xfId="26" builtinId="8" hidden="1"/>
    <cellStyle name="Hyperlink" xfId="22" builtinId="8" hidden="1"/>
    <cellStyle name="Hyperlink" xfId="30" builtinId="8" hidden="1"/>
    <cellStyle name="Hyperlink" xfId="11" builtinId="8" hidden="1"/>
    <cellStyle name="Hyperlink" xfId="28" builtinId="8" hidden="1"/>
    <cellStyle name="Hyperlink" xfId="18" builtinId="8" hidden="1"/>
    <cellStyle name="Hyperlink" xfId="20" builtinId="8" hidden="1"/>
    <cellStyle name="Hyperlink" xfId="16" builtinId="8" hidden="1"/>
    <cellStyle name="Hyperlink" xfId="24" builtinId="8" hidden="1"/>
    <cellStyle name="Normal" xfId="0" builtinId="0"/>
    <cellStyle name="Normal 2" xfId="2" xr:uid="{00000000-0005-0000-0000-000018000000}"/>
    <cellStyle name="Normal 3" xfId="6" xr:uid="{00000000-0005-0000-0000-000019000000}"/>
    <cellStyle name="Normal 4" xfId="8" xr:uid="{00000000-0005-0000-0000-00001A000000}"/>
    <cellStyle name="Normal 4 2" xfId="13" xr:uid="{00000000-0005-0000-0000-00001B000000}"/>
    <cellStyle name="Normal 5" xfId="7" xr:uid="{00000000-0005-0000-0000-00001C000000}"/>
    <cellStyle name="Percent" xfId="10" builtinId="5"/>
    <cellStyle name="Percent 2" xfId="3" xr:uid="{00000000-0005-0000-0000-00001E000000}"/>
    <cellStyle name="Percent 2 2" xfId="14" xr:uid="{00000000-0005-0000-0000-00001F000000}"/>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146050</xdr:rowOff>
        </xdr:from>
        <xdr:to>
          <xdr:col>3</xdr:col>
          <xdr:colOff>647700</xdr:colOff>
          <xdr:row>8</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127000</xdr:rowOff>
        </xdr:from>
        <xdr:to>
          <xdr:col>4</xdr:col>
          <xdr:colOff>333375</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146050</xdr:rowOff>
        </xdr:from>
        <xdr:to>
          <xdr:col>3</xdr:col>
          <xdr:colOff>685800</xdr:colOff>
          <xdr:row>9</xdr:row>
          <xdr:rowOff>50800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146050</xdr:rowOff>
        </xdr:from>
        <xdr:to>
          <xdr:col>4</xdr:col>
          <xdr:colOff>114300</xdr:colOff>
          <xdr:row>10</xdr:row>
          <xdr:rowOff>50800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67E3-F43B-4A75-A9DA-A74E4F01DA06}">
  <sheetPr codeName="Sheet2">
    <tabColor theme="6"/>
  </sheetPr>
  <dimension ref="A1:Q15"/>
  <sheetViews>
    <sheetView showGridLines="0" topLeftCell="A3" zoomScaleNormal="100" workbookViewId="0">
      <selection activeCell="S7" sqref="S7"/>
    </sheetView>
  </sheetViews>
  <sheetFormatPr defaultColWidth="8.81640625" defaultRowHeight="14.5" x14ac:dyDescent="0.35"/>
  <cols>
    <col min="1" max="1" width="3.54296875" customWidth="1"/>
    <col min="2" max="2" width="1.54296875" customWidth="1"/>
    <col min="5" max="5" width="11.453125" customWidth="1"/>
    <col min="17" max="17" width="17.453125" customWidth="1"/>
  </cols>
  <sheetData>
    <row r="1" spans="1:17" ht="55" customHeight="1" x14ac:dyDescent="0.35"/>
    <row r="2" spans="1:17" ht="22.5" x14ac:dyDescent="0.45">
      <c r="B2" s="151" t="s">
        <v>0</v>
      </c>
      <c r="C2" s="152"/>
    </row>
    <row r="3" spans="1:17" ht="35.25" customHeight="1" x14ac:dyDescent="0.35">
      <c r="A3" s="153"/>
      <c r="B3" s="153" t="s">
        <v>1</v>
      </c>
    </row>
    <row r="4" spans="1:17" ht="15.5" x14ac:dyDescent="0.35">
      <c r="B4" s="318" t="s">
        <v>2</v>
      </c>
      <c r="C4" s="318"/>
      <c r="D4" s="318"/>
      <c r="E4" s="318"/>
      <c r="F4" s="318"/>
      <c r="G4" s="318"/>
      <c r="H4" s="318"/>
      <c r="I4" s="318"/>
      <c r="J4" s="318"/>
      <c r="K4" s="318"/>
      <c r="L4" s="318"/>
      <c r="M4" s="318"/>
      <c r="N4" s="318"/>
      <c r="O4" s="318"/>
      <c r="P4" s="318"/>
      <c r="Q4" s="318"/>
    </row>
    <row r="5" spans="1:17" ht="30" customHeight="1" x14ac:dyDescent="0.35">
      <c r="B5" s="319" t="s">
        <v>328</v>
      </c>
      <c r="C5" s="320"/>
      <c r="D5" s="320"/>
      <c r="E5" s="320"/>
      <c r="F5" s="320"/>
      <c r="G5" s="320"/>
      <c r="H5" s="320"/>
      <c r="I5" s="320"/>
      <c r="J5" s="320"/>
      <c r="K5" s="320"/>
      <c r="L5" s="320"/>
      <c r="M5" s="320"/>
      <c r="N5" s="320"/>
      <c r="O5" s="320"/>
      <c r="P5" s="320"/>
      <c r="Q5" s="321"/>
    </row>
    <row r="6" spans="1:17" ht="30" customHeight="1" x14ac:dyDescent="0.35">
      <c r="B6" s="322"/>
      <c r="C6" s="323"/>
      <c r="D6" s="323"/>
      <c r="E6" s="323"/>
      <c r="F6" s="323"/>
      <c r="G6" s="323"/>
      <c r="H6" s="323"/>
      <c r="I6" s="323"/>
      <c r="J6" s="323"/>
      <c r="K6" s="323"/>
      <c r="L6" s="323"/>
      <c r="M6" s="323"/>
      <c r="N6" s="323"/>
      <c r="O6" s="323"/>
      <c r="P6" s="323"/>
      <c r="Q6" s="324"/>
    </row>
    <row r="7" spans="1:17" ht="30" customHeight="1" x14ac:dyDescent="0.35">
      <c r="B7" s="325"/>
      <c r="C7" s="326"/>
      <c r="D7" s="326"/>
      <c r="E7" s="326"/>
      <c r="F7" s="326"/>
      <c r="G7" s="326"/>
      <c r="H7" s="326"/>
      <c r="I7" s="326"/>
      <c r="J7" s="326"/>
      <c r="K7" s="326"/>
      <c r="L7" s="326"/>
      <c r="M7" s="326"/>
      <c r="N7" s="326"/>
      <c r="O7" s="326"/>
      <c r="P7" s="326"/>
      <c r="Q7" s="327"/>
    </row>
    <row r="9" spans="1:17" ht="15.5" x14ac:dyDescent="0.35">
      <c r="B9" s="318" t="s">
        <v>3</v>
      </c>
      <c r="C9" s="318"/>
      <c r="D9" s="318"/>
      <c r="E9" s="318"/>
      <c r="F9" s="318"/>
      <c r="G9" s="318"/>
      <c r="H9" s="318"/>
      <c r="I9" s="318"/>
      <c r="J9" s="318"/>
      <c r="K9" s="318"/>
      <c r="L9" s="318"/>
      <c r="M9" s="318"/>
      <c r="N9" s="318"/>
      <c r="O9" s="318"/>
      <c r="P9" s="318"/>
      <c r="Q9" s="318"/>
    </row>
    <row r="10" spans="1:17" x14ac:dyDescent="0.35">
      <c r="B10" s="154"/>
      <c r="C10" s="155"/>
      <c r="Q10" s="156"/>
    </row>
    <row r="11" spans="1:17" x14ac:dyDescent="0.35">
      <c r="B11" s="154"/>
      <c r="C11" s="328" t="s">
        <v>4</v>
      </c>
      <c r="D11" s="328"/>
      <c r="E11" s="328"/>
      <c r="F11" t="s">
        <v>5</v>
      </c>
      <c r="Q11" s="156"/>
    </row>
    <row r="12" spans="1:17" x14ac:dyDescent="0.35">
      <c r="B12" s="154"/>
      <c r="C12" s="329" t="s">
        <v>6</v>
      </c>
      <c r="D12" s="329"/>
      <c r="E12" s="329"/>
      <c r="F12" t="s">
        <v>7</v>
      </c>
      <c r="Q12" s="156"/>
    </row>
    <row r="13" spans="1:17" ht="30" customHeight="1" x14ac:dyDescent="0.35">
      <c r="B13" s="154"/>
      <c r="C13" s="330" t="s">
        <v>8</v>
      </c>
      <c r="D13" s="330"/>
      <c r="E13" s="330"/>
      <c r="F13" s="331" t="s">
        <v>9</v>
      </c>
      <c r="G13" s="331"/>
      <c r="H13" s="331"/>
      <c r="I13" s="331"/>
      <c r="J13" s="331"/>
      <c r="K13" s="331"/>
      <c r="L13" s="331"/>
      <c r="M13" s="331"/>
      <c r="N13" s="331"/>
      <c r="O13" s="331"/>
      <c r="P13" s="331"/>
      <c r="Q13" s="332"/>
    </row>
    <row r="14" spans="1:17" ht="56.25" customHeight="1" x14ac:dyDescent="0.35">
      <c r="B14" s="154"/>
      <c r="C14" s="317" t="s">
        <v>10</v>
      </c>
      <c r="D14" s="317"/>
      <c r="E14" s="317"/>
      <c r="F14" s="203" t="s">
        <v>11</v>
      </c>
      <c r="G14" s="157"/>
      <c r="H14" s="157"/>
      <c r="I14" s="157"/>
      <c r="J14" s="157"/>
      <c r="K14" s="157"/>
      <c r="L14" s="157"/>
      <c r="M14" s="157"/>
      <c r="N14" s="157"/>
      <c r="O14" s="157"/>
      <c r="P14" s="157"/>
      <c r="Q14" s="158"/>
    </row>
    <row r="15" spans="1:17" x14ac:dyDescent="0.3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39997558519241921"/>
    <pageSetUpPr fitToPage="1"/>
  </sheetPr>
  <dimension ref="A1:HW165"/>
  <sheetViews>
    <sheetView tabSelected="1" zoomScale="85" zoomScaleNormal="85" workbookViewId="0">
      <selection activeCell="D70" activeCellId="1" sqref="D67 D70"/>
    </sheetView>
  </sheetViews>
  <sheetFormatPr defaultColWidth="8.81640625" defaultRowHeight="17.5" x14ac:dyDescent="0.35"/>
  <cols>
    <col min="1" max="1" width="72.54296875" style="127" customWidth="1"/>
    <col min="2" max="2" width="21.54296875" style="124" customWidth="1"/>
    <col min="3" max="3" width="21.81640625" style="124" customWidth="1"/>
    <col min="4" max="4" width="22.453125" style="124" customWidth="1"/>
    <col min="5" max="5" width="22.81640625" style="124" customWidth="1"/>
    <col min="6" max="6" width="23.81640625" style="124" customWidth="1"/>
    <col min="7" max="7" width="21.54296875" style="124" customWidth="1"/>
    <col min="8" max="8" width="24.1796875" style="124" customWidth="1"/>
    <col min="9" max="9" width="21.54296875" style="124" customWidth="1"/>
    <col min="10" max="10" width="19" style="124" customWidth="1"/>
    <col min="11" max="11" width="21.54296875" style="124" customWidth="1"/>
    <col min="12" max="12" width="21.453125" style="124" customWidth="1"/>
    <col min="13" max="13" width="20.453125" style="124" customWidth="1"/>
    <col min="14" max="14" width="14.453125" style="124" customWidth="1"/>
    <col min="15" max="15" width="13.81640625" style="124" customWidth="1"/>
    <col min="16" max="18" width="14.453125" style="124" customWidth="1"/>
    <col min="19" max="19" width="13.453125" style="124" customWidth="1"/>
    <col min="20" max="26" width="14.453125" style="124" customWidth="1"/>
    <col min="27" max="27" width="15.54296875" style="124" customWidth="1"/>
    <col min="28" max="28" width="16.1796875" style="124" customWidth="1"/>
    <col min="29" max="29" width="16.453125" style="124" customWidth="1"/>
    <col min="30" max="53" width="14.453125" style="124" customWidth="1"/>
    <col min="54" max="54" width="18" style="124" customWidth="1"/>
    <col min="55" max="55" width="17.1796875" style="124" customWidth="1"/>
    <col min="56" max="64" width="14.453125" style="124" customWidth="1"/>
    <col min="65" max="65" width="13.1796875" style="124" customWidth="1"/>
    <col min="66" max="68" width="14.453125" style="124" customWidth="1"/>
    <col min="69" max="69" width="12.54296875" style="124" customWidth="1"/>
    <col min="70" max="102" width="14.453125" style="124" customWidth="1"/>
    <col min="103" max="103" width="11.453125" style="124" customWidth="1"/>
    <col min="104" max="104" width="142.81640625" style="121" customWidth="1"/>
    <col min="105" max="105" width="15.81640625" style="122" customWidth="1"/>
    <col min="106" max="106" width="32" style="122" customWidth="1"/>
    <col min="107" max="107" width="14.81640625" style="123" customWidth="1"/>
    <col min="108" max="108" width="12.453125" style="123" customWidth="1"/>
    <col min="109" max="109" width="13.1796875" style="123" customWidth="1"/>
    <col min="110" max="110" width="9.453125" style="123" customWidth="1"/>
    <col min="111" max="193" width="8.81640625" style="123"/>
    <col min="194" max="16384" width="8.81640625" style="122"/>
  </cols>
  <sheetData>
    <row r="1" spans="1:231" s="5" customFormat="1" ht="21" customHeight="1" x14ac:dyDescent="0.35">
      <c r="A1" s="342" t="s">
        <v>12</v>
      </c>
      <c r="B1" s="144"/>
      <c r="C1" s="145"/>
      <c r="D1" s="1"/>
      <c r="E1" s="336" t="s">
        <v>13</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14</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4">
      <c r="A2" s="343"/>
      <c r="B2" s="146"/>
      <c r="C2" s="145"/>
      <c r="D2" s="6"/>
      <c r="E2" s="336" t="s">
        <v>15</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15</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3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7" customHeight="1" x14ac:dyDescent="0.3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35">
      <c r="A5" s="314" t="s">
        <v>326</v>
      </c>
      <c r="B5" s="315">
        <v>1</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35">
      <c r="A6" s="316" t="s">
        <v>327</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3">
      <c r="A7" s="8"/>
      <c r="B7" s="9" t="s">
        <v>16</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17</v>
      </c>
      <c r="DA7" s="9" t="s">
        <v>18</v>
      </c>
      <c r="DB7" s="9" t="s">
        <v>19</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3">
      <c r="A8" s="8" t="s">
        <v>20</v>
      </c>
      <c r="B8" s="13">
        <v>44549</v>
      </c>
      <c r="C8" s="339" t="s">
        <v>21</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22</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3">
      <c r="A9" s="16" t="s">
        <v>23</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3">
      <c r="A10" s="16" t="s">
        <v>24</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25</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3">
      <c r="A11" s="16" t="s">
        <v>26</v>
      </c>
      <c r="B11" s="21"/>
      <c r="C11" s="13">
        <v>44866</v>
      </c>
      <c r="D11" s="13" t="s">
        <v>330</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27</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3">
      <c r="A12" s="136" t="s">
        <v>28</v>
      </c>
      <c r="B12" s="137">
        <v>8064223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29</v>
      </c>
      <c r="DA12" s="27" t="s">
        <v>30</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3">
      <c r="A13" s="28" t="s">
        <v>31</v>
      </c>
      <c r="B13" s="29"/>
      <c r="C13" s="232">
        <v>8358707</v>
      </c>
      <c r="D13" s="236">
        <v>8762869</v>
      </c>
      <c r="E13" s="236"/>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32</v>
      </c>
      <c r="DA13" s="31">
        <v>5.0999999999999996</v>
      </c>
      <c r="DB13" s="32" t="s">
        <v>33</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3">
      <c r="A14" s="23" t="s">
        <v>34</v>
      </c>
      <c r="B14" s="35">
        <v>4.3799999999999999E-2</v>
      </c>
      <c r="C14" s="36">
        <v>3.4500000000000003E-2</v>
      </c>
      <c r="D14" s="36">
        <v>3.4099999999999998E-2</v>
      </c>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35</v>
      </c>
      <c r="DA14" s="31" t="s">
        <v>36</v>
      </c>
      <c r="DB14" s="32" t="s">
        <v>37</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3">
      <c r="A15" s="39" t="s">
        <v>38</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39</v>
      </c>
      <c r="DA15" s="31" t="s">
        <v>36</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3">
      <c r="A16" s="39" t="s">
        <v>40</v>
      </c>
      <c r="B16" s="43"/>
      <c r="C16" s="44">
        <f>C13*(1-C15)</f>
        <v>8358707</v>
      </c>
      <c r="D16" s="44">
        <f>D13*(1-D15)</f>
        <v>8762869</v>
      </c>
      <c r="E16" s="44">
        <f t="shared" ref="E16:AH16" si="6">E13*(1-E15)</f>
        <v>0</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41</v>
      </c>
      <c r="DA16" s="31">
        <v>5.0999999999999996</v>
      </c>
      <c r="DB16" s="9" t="s">
        <v>42</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3">
      <c r="A17" s="46" t="s">
        <v>43</v>
      </c>
      <c r="B17" s="47">
        <f>B12</f>
        <v>8064223</v>
      </c>
      <c r="C17" s="48">
        <f>B12+C12</f>
        <v>8064223</v>
      </c>
      <c r="D17" s="48">
        <f>MAX($C$17:C17)+D12</f>
        <v>8064223</v>
      </c>
      <c r="E17" s="48">
        <f>MAX($C$17:D17)+E12</f>
        <v>8064223</v>
      </c>
      <c r="F17" s="48">
        <f>MAX($C$17:E17)+F12</f>
        <v>8064223</v>
      </c>
      <c r="G17" s="48">
        <f>MAX($C$17:F17)+G12</f>
        <v>8064223</v>
      </c>
      <c r="H17" s="48">
        <f>MAX($C$17:G17)+H12</f>
        <v>8064223</v>
      </c>
      <c r="I17" s="48">
        <f>MAX($C$17:H17)+I12</f>
        <v>8064223</v>
      </c>
      <c r="J17" s="48">
        <f>MAX($C$17:I17)+J12</f>
        <v>8064223</v>
      </c>
      <c r="K17" s="48">
        <f>MAX($C$17:J17)+K12</f>
        <v>8064223</v>
      </c>
      <c r="L17" s="48">
        <f>MAX($C$17:K17)+L12</f>
        <v>8064223</v>
      </c>
      <c r="M17" s="48">
        <f>MAX($C$17:L17)+M12</f>
        <v>8064223</v>
      </c>
      <c r="N17" s="48">
        <f>MAX($C$17:M17)+N12</f>
        <v>8064223</v>
      </c>
      <c r="O17" s="48">
        <f>MAX($C$17:N17)+O12</f>
        <v>8064223</v>
      </c>
      <c r="P17" s="48">
        <f>MAX($C$17:O17)+P12</f>
        <v>8064223</v>
      </c>
      <c r="Q17" s="48">
        <f>MAX($C$17:P17)+Q12</f>
        <v>8064223</v>
      </c>
      <c r="R17" s="48">
        <f>MAX($C$17:Q17)+R12</f>
        <v>8064223</v>
      </c>
      <c r="S17" s="48">
        <f>MAX($C$17:R17)+S12</f>
        <v>8064223</v>
      </c>
      <c r="T17" s="48">
        <f>MAX($C$17:S17)+T12</f>
        <v>8064223</v>
      </c>
      <c r="U17" s="48">
        <f>MAX($C$17:T17)+U12</f>
        <v>8064223</v>
      </c>
      <c r="V17" s="48">
        <f>MAX($C$17:U17)+V12</f>
        <v>8064223</v>
      </c>
      <c r="W17" s="48">
        <f>MAX($C$17:V17)+W12</f>
        <v>8064223</v>
      </c>
      <c r="X17" s="48">
        <f>MAX($C$17:W17)+X12</f>
        <v>8064223</v>
      </c>
      <c r="Y17" s="48">
        <f>MAX($C$17:X17)+Y12</f>
        <v>8064223</v>
      </c>
      <c r="Z17" s="48">
        <f>MAX($C$17:Y17)+Z12</f>
        <v>8064223</v>
      </c>
      <c r="AA17" s="48">
        <f>MAX($C$17:Z17)+AA12</f>
        <v>8064223</v>
      </c>
      <c r="AB17" s="48">
        <f>MAX($C$17:AA17)+AB12</f>
        <v>8064223</v>
      </c>
      <c r="AC17" s="48">
        <f>MAX($C$17:AB17)+AC12</f>
        <v>8064223</v>
      </c>
      <c r="AD17" s="48">
        <f>MAX($C$17:AC17)+AD12</f>
        <v>8064223</v>
      </c>
      <c r="AE17" s="48">
        <f>MAX($C$17:AD17)+AE12</f>
        <v>8064223</v>
      </c>
      <c r="AF17" s="48">
        <f>MAX($C$17:AE17)+AF12</f>
        <v>8064223</v>
      </c>
      <c r="AG17" s="48">
        <f>MAX($C$17:AF17)+AG12</f>
        <v>8064223</v>
      </c>
      <c r="AH17" s="48">
        <f>MAX($C$17:AG17)+AH12</f>
        <v>8064223</v>
      </c>
      <c r="AI17" s="48">
        <f>MAX($C$17:AH17)+AI12</f>
        <v>8064223</v>
      </c>
      <c r="AJ17" s="48">
        <f>MAX($C$17:AI17)+AJ12</f>
        <v>8064223</v>
      </c>
      <c r="AK17" s="48">
        <f>MAX($C$17:AJ17)+AK12</f>
        <v>8064223</v>
      </c>
      <c r="AL17" s="48">
        <f>MAX($C$17:AK17)+AL12</f>
        <v>8064223</v>
      </c>
      <c r="AM17" s="48">
        <f>MAX($C$17:AL17)+AM12</f>
        <v>8064223</v>
      </c>
      <c r="AN17" s="48">
        <f>MAX($C$17:AM17)+AN12</f>
        <v>8064223</v>
      </c>
      <c r="AO17" s="48">
        <f>MAX($C$17:AN17)+AO12</f>
        <v>8064223</v>
      </c>
      <c r="AP17" s="48">
        <f>MAX($C$17:AO17)+AP12</f>
        <v>8064223</v>
      </c>
      <c r="AQ17" s="48">
        <f>MAX($C$17:AP17)+AQ12</f>
        <v>8064223</v>
      </c>
      <c r="AR17" s="48">
        <f>MAX($C$17:AQ17)+AR12</f>
        <v>8064223</v>
      </c>
      <c r="AS17" s="48">
        <f>MAX($C$17:AR17)+AS12</f>
        <v>8064223</v>
      </c>
      <c r="AT17" s="48">
        <f>MAX($C$17:AS17)+AT12</f>
        <v>8064223</v>
      </c>
      <c r="AU17" s="48">
        <f>MAX($C$17:AT17)+AU12</f>
        <v>8064223</v>
      </c>
      <c r="AV17" s="48">
        <f>MAX($C$17:AU17)+AV12</f>
        <v>8064223</v>
      </c>
      <c r="AW17" s="48">
        <f>MAX($C$17:AV17)+AW12</f>
        <v>8064223</v>
      </c>
      <c r="AX17" s="48">
        <f>MAX($C$17:AW17)+AX12</f>
        <v>8064223</v>
      </c>
      <c r="AY17" s="48">
        <f>MAX($C$17:AX17)+AY12</f>
        <v>8064223</v>
      </c>
      <c r="AZ17" s="48">
        <f>MAX($C$17:AY17)+AZ12</f>
        <v>8064223</v>
      </c>
      <c r="BA17" s="48">
        <f>MAX($C$17:AZ17)+BA12</f>
        <v>8064223</v>
      </c>
      <c r="BB17" s="48">
        <f>MAX($C$17:BA17)+BB12</f>
        <v>8064223</v>
      </c>
      <c r="BC17" s="48">
        <f>MAX($C$17:BB17)+BC12</f>
        <v>8064223</v>
      </c>
      <c r="BD17" s="48">
        <f>MAX($C$17:BC17)+BD12</f>
        <v>8064223</v>
      </c>
      <c r="BE17" s="48">
        <f>MAX($C$17:BD17)+BE12</f>
        <v>8064223</v>
      </c>
      <c r="BF17" s="48">
        <f>MAX($C$17:BE17)+BF12</f>
        <v>8064223</v>
      </c>
      <c r="BG17" s="48">
        <f>MAX($C$17:BF17)+BG12</f>
        <v>8064223</v>
      </c>
      <c r="BH17" s="48">
        <f>MAX($C$17:BG17)+BH12</f>
        <v>8064223</v>
      </c>
      <c r="BI17" s="48">
        <f>MAX($C$17:BH17)+BI12</f>
        <v>8064223</v>
      </c>
      <c r="BJ17" s="48">
        <f>MAX($C$17:BI17)+BJ12</f>
        <v>8064223</v>
      </c>
      <c r="BK17" s="48">
        <f>MAX($C$17:BJ17)+BK12</f>
        <v>8064223</v>
      </c>
      <c r="BL17" s="48">
        <f>MAX($C$17:BK17)+BL12</f>
        <v>8064223</v>
      </c>
      <c r="BM17" s="48">
        <f>MAX($C$17:BL17)+BM12</f>
        <v>8064223</v>
      </c>
      <c r="BN17" s="48">
        <f>MAX($C$17:BM17)+BN12</f>
        <v>8064223</v>
      </c>
      <c r="BO17" s="48">
        <f>MAX($C$17:BN17)+BO12</f>
        <v>8064223</v>
      </c>
      <c r="BP17" s="48">
        <f>MAX($C$17:BO17)+BP12</f>
        <v>8064223</v>
      </c>
      <c r="BQ17" s="48">
        <f>MAX($C$17:BP17)+BQ12</f>
        <v>8064223</v>
      </c>
      <c r="BR17" s="48">
        <f>MAX($C$17:BQ17)+BR12</f>
        <v>8064223</v>
      </c>
      <c r="BS17" s="48">
        <f>MAX($C$17:BR17)+BS12</f>
        <v>8064223</v>
      </c>
      <c r="BT17" s="48">
        <f>MAX($C$17:BS17)+BT12</f>
        <v>8064223</v>
      </c>
      <c r="BU17" s="48">
        <f>MAX($C$17:BT17)+BU12</f>
        <v>8064223</v>
      </c>
      <c r="BV17" s="48">
        <f>MAX($C$17:BU17)+BV12</f>
        <v>8064223</v>
      </c>
      <c r="BW17" s="48">
        <f>MAX($C$17:BV17)+BW12</f>
        <v>8064223</v>
      </c>
      <c r="BX17" s="48">
        <f>MAX($C$17:BW17)+BX12</f>
        <v>8064223</v>
      </c>
      <c r="BY17" s="48">
        <f>MAX($C$17:BX17)+BY12</f>
        <v>8064223</v>
      </c>
      <c r="BZ17" s="48">
        <f>MAX($C$17:BY17)+BZ12</f>
        <v>8064223</v>
      </c>
      <c r="CA17" s="48">
        <f>MAX($C$17:BZ17)+CA12</f>
        <v>8064223</v>
      </c>
      <c r="CB17" s="48">
        <f>MAX($C$17:CA17)+CB12</f>
        <v>8064223</v>
      </c>
      <c r="CC17" s="48">
        <f>MAX($C$17:CB17)+CC12</f>
        <v>8064223</v>
      </c>
      <c r="CD17" s="48">
        <f>MAX($C$17:CC17)+CD12</f>
        <v>8064223</v>
      </c>
      <c r="CE17" s="48">
        <f>MAX($C$17:CD17)+CE12</f>
        <v>8064223</v>
      </c>
      <c r="CF17" s="48">
        <f>MAX($C$17:CE17)+CF12</f>
        <v>8064223</v>
      </c>
      <c r="CG17" s="48">
        <f>MAX($C$17:CF17)+CG12</f>
        <v>8064223</v>
      </c>
      <c r="CH17" s="48">
        <f>MAX($C$17:CG17)+CH12</f>
        <v>8064223</v>
      </c>
      <c r="CI17" s="48">
        <f>MAX($C$17:CH17)+CI12</f>
        <v>8064223</v>
      </c>
      <c r="CJ17" s="48">
        <f>MAX($C$17:CI17)+CJ12</f>
        <v>8064223</v>
      </c>
      <c r="CK17" s="48">
        <f>MAX($C$17:CJ17)+CK12</f>
        <v>8064223</v>
      </c>
      <c r="CL17" s="48">
        <f>MAX($C$17:CK17)+CL12</f>
        <v>8064223</v>
      </c>
      <c r="CM17" s="48">
        <f>MAX($C$17:CL17)+CM12</f>
        <v>8064223</v>
      </c>
      <c r="CN17" s="48">
        <f>MAX($C$17:CM17)+CN12</f>
        <v>8064223</v>
      </c>
      <c r="CO17" s="48">
        <f>MAX($C$17:CN17)+CO12</f>
        <v>8064223</v>
      </c>
      <c r="CP17" s="48">
        <f>MAX($C$17:CO17)+CP12</f>
        <v>8064223</v>
      </c>
      <c r="CQ17" s="48">
        <f>MAX($C$17:CP17)+CQ12</f>
        <v>8064223</v>
      </c>
      <c r="CR17" s="48">
        <f>MAX($C$17:CQ17)+CR12</f>
        <v>8064223</v>
      </c>
      <c r="CS17" s="48">
        <f>MAX($C$17:CR17)+CS12</f>
        <v>8064223</v>
      </c>
      <c r="CT17" s="48">
        <f>MAX($C$17:CS17)+CT12</f>
        <v>8064223</v>
      </c>
      <c r="CU17" s="48">
        <f>MAX($C$17:CT17)+CU12</f>
        <v>8064223</v>
      </c>
      <c r="CV17" s="48">
        <f>MAX($C$17:CU17)+CV12</f>
        <v>8064223</v>
      </c>
      <c r="CW17" s="48">
        <f>MAX($C$17:CV17)+CW12</f>
        <v>8064223</v>
      </c>
      <c r="CX17" s="48">
        <f>MAX($C$17:CW17)+CX12</f>
        <v>8064223</v>
      </c>
      <c r="CY17" s="49"/>
      <c r="CZ17" s="41" t="s">
        <v>44</v>
      </c>
      <c r="DA17" s="31">
        <v>5.0999999999999996</v>
      </c>
      <c r="DB17" s="32" t="s">
        <v>45</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3">
      <c r="A18" s="39" t="s">
        <v>46</v>
      </c>
      <c r="B18" s="50"/>
      <c r="C18" s="44">
        <f t="shared" ref="C18:AH18" si="10">IF(C13&gt;0,C16-C17,0)</f>
        <v>294484</v>
      </c>
      <c r="D18" s="44">
        <f t="shared" si="10"/>
        <v>698646</v>
      </c>
      <c r="E18" s="44">
        <f t="shared" si="10"/>
        <v>0</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47</v>
      </c>
      <c r="DA18" s="31">
        <v>5.0999999999999996</v>
      </c>
      <c r="DB18" s="9" t="s">
        <v>48</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3">
      <c r="A19" s="39" t="s">
        <v>49</v>
      </c>
      <c r="B19" s="50"/>
      <c r="C19" s="44">
        <f>C18</f>
        <v>294484</v>
      </c>
      <c r="D19" s="44">
        <f>IF(D18-SUM($C$19:C19)&gt;0,IF(D13&gt;0,D18-SUM($C$19:C19),0),0)</f>
        <v>404162</v>
      </c>
      <c r="E19" s="44">
        <f>IF(E18-SUM($C$19:D19)&gt;0,IF(E13&gt;0,E18-SUM($C$19:D19),0),0)</f>
        <v>0</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50</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35">
      <c r="A20" s="205" t="s">
        <v>51</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35">
      <c r="A21" s="207" t="s">
        <v>52</v>
      </c>
      <c r="B21" s="50"/>
      <c r="C21" s="185">
        <v>76868.444398224994</v>
      </c>
      <c r="D21" s="185">
        <v>84912.323818249992</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53</v>
      </c>
      <c r="DA21" s="32">
        <v>5.4</v>
      </c>
      <c r="DB21" s="186" t="s">
        <v>54</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35">
      <c r="A22" s="208" t="s">
        <v>55</v>
      </c>
      <c r="B22" s="50"/>
      <c r="C22" s="188">
        <f>'HWP C Línea de Base'!$D$22</f>
        <v>74463.81355220417</v>
      </c>
      <c r="D22" s="187">
        <f>'HWP C Línea de Base'!$D$22</f>
        <v>74463.81355220417</v>
      </c>
      <c r="E22" s="187">
        <f>'HWP C Línea de Base'!$D$22</f>
        <v>74463.81355220417</v>
      </c>
      <c r="F22" s="187">
        <f>'HWP C Línea de Base'!$D$22</f>
        <v>74463.81355220417</v>
      </c>
      <c r="G22" s="187">
        <f>'HWP C Línea de Base'!$D$22</f>
        <v>74463.81355220417</v>
      </c>
      <c r="H22" s="187">
        <f>'HWP C Línea de Base'!$D$22</f>
        <v>74463.81355220417</v>
      </c>
      <c r="I22" s="187">
        <f>'HWP C Línea de Base'!$D$22</f>
        <v>74463.81355220417</v>
      </c>
      <c r="J22" s="187">
        <f>'HWP C Línea de Base'!$D$22</f>
        <v>74463.81355220417</v>
      </c>
      <c r="K22" s="187">
        <f>'HWP C Línea de Base'!$D$22</f>
        <v>74463.81355220417</v>
      </c>
      <c r="L22" s="187">
        <f>'HWP C Línea de Base'!$D$22</f>
        <v>74463.81355220417</v>
      </c>
      <c r="M22" s="187">
        <f>'HWP C Línea de Base'!$D$22</f>
        <v>74463.81355220417</v>
      </c>
      <c r="N22" s="187">
        <f>'HWP C Línea de Base'!$D$22</f>
        <v>74463.81355220417</v>
      </c>
      <c r="O22" s="187">
        <f>'HWP C Línea de Base'!$D$22</f>
        <v>74463.81355220417</v>
      </c>
      <c r="P22" s="187">
        <f>'HWP C Línea de Base'!$D$22</f>
        <v>74463.81355220417</v>
      </c>
      <c r="Q22" s="187">
        <f>'HWP C Línea de Base'!$D$22</f>
        <v>74463.81355220417</v>
      </c>
      <c r="R22" s="187">
        <f>'HWP C Línea de Base'!$D$22</f>
        <v>74463.81355220417</v>
      </c>
      <c r="S22" s="187">
        <f>'HWP C Línea de Base'!$D$22</f>
        <v>74463.81355220417</v>
      </c>
      <c r="T22" s="187">
        <f>'HWP C Línea de Base'!$D$22</f>
        <v>74463.81355220417</v>
      </c>
      <c r="U22" s="187">
        <f>'HWP C Línea de Base'!$D$22</f>
        <v>74463.81355220417</v>
      </c>
      <c r="V22" s="187">
        <f>'HWP C Línea de Base'!$D$22</f>
        <v>74463.81355220417</v>
      </c>
      <c r="W22" s="187">
        <f>'HWP C Línea de Base'!$D$22</f>
        <v>74463.81355220417</v>
      </c>
      <c r="X22" s="187">
        <f>'HWP C Línea de Base'!$D$22</f>
        <v>74463.81355220417</v>
      </c>
      <c r="Y22" s="187">
        <f>'HWP C Línea de Base'!$D$22</f>
        <v>74463.81355220417</v>
      </c>
      <c r="Z22" s="187">
        <f>'HWP C Línea de Base'!$D$22</f>
        <v>74463.81355220417</v>
      </c>
      <c r="AA22" s="187">
        <f>'HWP C Línea de Base'!$D$22</f>
        <v>74463.81355220417</v>
      </c>
      <c r="AB22" s="187">
        <f>'HWP C Línea de Base'!$D$22</f>
        <v>74463.81355220417</v>
      </c>
      <c r="AC22" s="187">
        <f>'HWP C Línea de Base'!$D$22</f>
        <v>74463.81355220417</v>
      </c>
      <c r="AD22" s="187">
        <f>'HWP C Línea de Base'!$D$22</f>
        <v>74463.81355220417</v>
      </c>
      <c r="AE22" s="187">
        <f>'HWP C Línea de Base'!$D$22</f>
        <v>74463.81355220417</v>
      </c>
      <c r="AF22" s="187">
        <f>'HWP C Línea de Base'!$D$22</f>
        <v>74463.81355220417</v>
      </c>
      <c r="AG22" s="187">
        <f>'HWP C Línea de Base'!$D$22</f>
        <v>74463.81355220417</v>
      </c>
      <c r="AH22" s="187">
        <f>'HWP C Línea de Base'!$D$22</f>
        <v>74463.81355220417</v>
      </c>
      <c r="AI22" s="187">
        <f>'HWP C Línea de Base'!$D$22</f>
        <v>74463.81355220417</v>
      </c>
      <c r="AJ22" s="187">
        <f>'HWP C Línea de Base'!$D$22</f>
        <v>74463.81355220417</v>
      </c>
      <c r="AK22" s="187">
        <f>'HWP C Línea de Base'!$D$22</f>
        <v>74463.81355220417</v>
      </c>
      <c r="AL22" s="187">
        <f>'HWP C Línea de Base'!$D$22</f>
        <v>74463.81355220417</v>
      </c>
      <c r="AM22" s="187">
        <f>'HWP C Línea de Base'!$D$22</f>
        <v>74463.81355220417</v>
      </c>
      <c r="AN22" s="187">
        <f>'HWP C Línea de Base'!$D$22</f>
        <v>74463.81355220417</v>
      </c>
      <c r="AO22" s="187">
        <f>'HWP C Línea de Base'!$D$22</f>
        <v>74463.81355220417</v>
      </c>
      <c r="AP22" s="187">
        <f>'HWP C Línea de Base'!$D$22</f>
        <v>74463.81355220417</v>
      </c>
      <c r="AQ22" s="187">
        <f>'HWP C Línea de Base'!$D$22</f>
        <v>74463.81355220417</v>
      </c>
      <c r="AR22" s="187">
        <f>'HWP C Línea de Base'!$D$22</f>
        <v>74463.81355220417</v>
      </c>
      <c r="AS22" s="187">
        <f>'HWP C Línea de Base'!$D$22</f>
        <v>74463.81355220417</v>
      </c>
      <c r="AT22" s="187">
        <f>'HWP C Línea de Base'!$D$22</f>
        <v>74463.81355220417</v>
      </c>
      <c r="AU22" s="187">
        <f>'HWP C Línea de Base'!$D$22</f>
        <v>74463.81355220417</v>
      </c>
      <c r="AV22" s="187">
        <f>'HWP C Línea de Base'!$D$22</f>
        <v>74463.81355220417</v>
      </c>
      <c r="AW22" s="187">
        <f>'HWP C Línea de Base'!$D$22</f>
        <v>74463.81355220417</v>
      </c>
      <c r="AX22" s="187">
        <f>'HWP C Línea de Base'!$D$22</f>
        <v>74463.81355220417</v>
      </c>
      <c r="AY22" s="187">
        <f>'HWP C Línea de Base'!$D$22</f>
        <v>74463.81355220417</v>
      </c>
      <c r="AZ22" s="187">
        <f>'HWP C Línea de Base'!$D$22</f>
        <v>74463.81355220417</v>
      </c>
      <c r="BA22" s="187">
        <f>'HWP C Línea de Base'!$D$22</f>
        <v>74463.81355220417</v>
      </c>
      <c r="BB22" s="187">
        <f>'HWP C Línea de Base'!$D$22</f>
        <v>74463.81355220417</v>
      </c>
      <c r="BC22" s="187">
        <f>'HWP C Línea de Base'!$D$22</f>
        <v>74463.81355220417</v>
      </c>
      <c r="BD22" s="187">
        <f>'HWP C Línea de Base'!$D$22</f>
        <v>74463.81355220417</v>
      </c>
      <c r="BE22" s="187">
        <f>'HWP C Línea de Base'!$D$22</f>
        <v>74463.81355220417</v>
      </c>
      <c r="BF22" s="187">
        <f>'HWP C Línea de Base'!$D$22</f>
        <v>74463.81355220417</v>
      </c>
      <c r="BG22" s="187">
        <f>'HWP C Línea de Base'!$D$22</f>
        <v>74463.81355220417</v>
      </c>
      <c r="BH22" s="187">
        <f>'HWP C Línea de Base'!$D$22</f>
        <v>74463.81355220417</v>
      </c>
      <c r="BI22" s="187">
        <f>'HWP C Línea de Base'!$D$22</f>
        <v>74463.81355220417</v>
      </c>
      <c r="BJ22" s="187">
        <f>'HWP C Línea de Base'!$D$22</f>
        <v>74463.81355220417</v>
      </c>
      <c r="BK22" s="187">
        <f>'HWP C Línea de Base'!$D$22</f>
        <v>74463.81355220417</v>
      </c>
      <c r="BL22" s="187">
        <f>'HWP C Línea de Base'!$D$22</f>
        <v>74463.81355220417</v>
      </c>
      <c r="BM22" s="187">
        <f>'HWP C Línea de Base'!$D$22</f>
        <v>74463.81355220417</v>
      </c>
      <c r="BN22" s="187">
        <f>'HWP C Línea de Base'!$D$22</f>
        <v>74463.81355220417</v>
      </c>
      <c r="BO22" s="187">
        <f>'HWP C Línea de Base'!$D$22</f>
        <v>74463.81355220417</v>
      </c>
      <c r="BP22" s="187">
        <f>'HWP C Línea de Base'!$D$22</f>
        <v>74463.81355220417</v>
      </c>
      <c r="BQ22" s="187">
        <f>'HWP C Línea de Base'!$D$22</f>
        <v>74463.81355220417</v>
      </c>
      <c r="BR22" s="187">
        <f>'HWP C Línea de Base'!$D$22</f>
        <v>74463.81355220417</v>
      </c>
      <c r="BS22" s="187">
        <f>'HWP C Línea de Base'!$D$22</f>
        <v>74463.81355220417</v>
      </c>
      <c r="BT22" s="187">
        <f>'HWP C Línea de Base'!$D$22</f>
        <v>74463.81355220417</v>
      </c>
      <c r="BU22" s="187">
        <f>'HWP C Línea de Base'!$D$22</f>
        <v>74463.81355220417</v>
      </c>
      <c r="BV22" s="187">
        <f>'HWP C Línea de Base'!$D$22</f>
        <v>74463.81355220417</v>
      </c>
      <c r="BW22" s="187">
        <f>'HWP C Línea de Base'!$D$22</f>
        <v>74463.81355220417</v>
      </c>
      <c r="BX22" s="187">
        <f>'HWP C Línea de Base'!$D$22</f>
        <v>74463.81355220417</v>
      </c>
      <c r="BY22" s="187">
        <f>'HWP C Línea de Base'!$D$22</f>
        <v>74463.81355220417</v>
      </c>
      <c r="BZ22" s="187">
        <f>'HWP C Línea de Base'!$D$22</f>
        <v>74463.81355220417</v>
      </c>
      <c r="CA22" s="187">
        <f>'HWP C Línea de Base'!$D$22</f>
        <v>74463.81355220417</v>
      </c>
      <c r="CB22" s="187">
        <f>'HWP C Línea de Base'!$D$22</f>
        <v>74463.81355220417</v>
      </c>
      <c r="CC22" s="187">
        <f>'HWP C Línea de Base'!$D$22</f>
        <v>74463.81355220417</v>
      </c>
      <c r="CD22" s="187">
        <f>'HWP C Línea de Base'!$D$22</f>
        <v>74463.81355220417</v>
      </c>
      <c r="CE22" s="187">
        <f>'HWP C Línea de Base'!$D$22</f>
        <v>74463.81355220417</v>
      </c>
      <c r="CF22" s="187">
        <f>'HWP C Línea de Base'!$D$22</f>
        <v>74463.81355220417</v>
      </c>
      <c r="CG22" s="187">
        <f>'HWP C Línea de Base'!$D$22</f>
        <v>74463.81355220417</v>
      </c>
      <c r="CH22" s="187">
        <f>'HWP C Línea de Base'!$D$22</f>
        <v>74463.81355220417</v>
      </c>
      <c r="CI22" s="187">
        <f>'HWP C Línea de Base'!$D$22</f>
        <v>74463.81355220417</v>
      </c>
      <c r="CJ22" s="187">
        <f>'HWP C Línea de Base'!$D$22</f>
        <v>74463.81355220417</v>
      </c>
      <c r="CK22" s="187">
        <f>'HWP C Línea de Base'!$D$22</f>
        <v>74463.81355220417</v>
      </c>
      <c r="CL22" s="187">
        <f>'HWP C Línea de Base'!$D$22</f>
        <v>74463.81355220417</v>
      </c>
      <c r="CM22" s="187">
        <f>'HWP C Línea de Base'!$D$22</f>
        <v>74463.81355220417</v>
      </c>
      <c r="CN22" s="187">
        <f>'HWP C Línea de Base'!$D$22</f>
        <v>74463.81355220417</v>
      </c>
      <c r="CO22" s="187">
        <f>'HWP C Línea de Base'!$D$22</f>
        <v>74463.81355220417</v>
      </c>
      <c r="CP22" s="187">
        <f>'HWP C Línea de Base'!$D$22</f>
        <v>74463.81355220417</v>
      </c>
      <c r="CQ22" s="187">
        <f>'HWP C Línea de Base'!$D$22</f>
        <v>74463.81355220417</v>
      </c>
      <c r="CR22" s="187">
        <f>'HWP C Línea de Base'!$D$22</f>
        <v>74463.81355220417</v>
      </c>
      <c r="CS22" s="187">
        <f>'HWP C Línea de Base'!$D$22</f>
        <v>74463.81355220417</v>
      </c>
      <c r="CT22" s="187">
        <f>'HWP C Línea de Base'!$D$22</f>
        <v>74463.81355220417</v>
      </c>
      <c r="CU22" s="187">
        <f>'HWP C Línea de Base'!$D$22</f>
        <v>74463.81355220417</v>
      </c>
      <c r="CV22" s="187">
        <f>'HWP C Línea de Base'!$D$22</f>
        <v>74463.81355220417</v>
      </c>
      <c r="CW22" s="187">
        <f>'HWP C Línea de Base'!$D$22</f>
        <v>74463.81355220417</v>
      </c>
      <c r="CX22" s="187">
        <f>'HWP C Línea de Base'!$D$22</f>
        <v>74463.81355220417</v>
      </c>
      <c r="CY22" s="187">
        <f>'HWP C Línea de Base'!$D$22</f>
        <v>74463.81355220417</v>
      </c>
      <c r="CZ22" s="209" t="s">
        <v>56</v>
      </c>
      <c r="DA22" s="32">
        <v>5.4</v>
      </c>
      <c r="DB22" s="186" t="s">
        <v>57</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5" customHeight="1" x14ac:dyDescent="0.3">
      <c r="A23" s="208" t="s">
        <v>58</v>
      </c>
      <c r="B23" s="50"/>
      <c r="C23" s="189">
        <f>IFERROR(C21-C22,"")</f>
        <v>2404.6308460208238</v>
      </c>
      <c r="D23" s="189">
        <f t="shared" ref="D23:BO23" si="14">IFERROR(D21-D22,"")</f>
        <v>10448.510266045821</v>
      </c>
      <c r="E23" s="189">
        <f t="shared" si="14"/>
        <v>-74463.81355220417</v>
      </c>
      <c r="F23" s="189">
        <f t="shared" si="14"/>
        <v>-74463.81355220417</v>
      </c>
      <c r="G23" s="189">
        <f t="shared" si="14"/>
        <v>-74463.81355220417</v>
      </c>
      <c r="H23" s="189">
        <f t="shared" si="14"/>
        <v>-74463.81355220417</v>
      </c>
      <c r="I23" s="189">
        <f t="shared" si="14"/>
        <v>-74463.81355220417</v>
      </c>
      <c r="J23" s="189">
        <f t="shared" si="14"/>
        <v>-74463.81355220417</v>
      </c>
      <c r="K23" s="189">
        <f t="shared" si="14"/>
        <v>-74463.81355220417</v>
      </c>
      <c r="L23" s="189">
        <f t="shared" si="14"/>
        <v>-74463.81355220417</v>
      </c>
      <c r="M23" s="189">
        <f t="shared" si="14"/>
        <v>-74463.81355220417</v>
      </c>
      <c r="N23" s="189">
        <f t="shared" si="14"/>
        <v>-74463.81355220417</v>
      </c>
      <c r="O23" s="189">
        <f t="shared" si="14"/>
        <v>-74463.81355220417</v>
      </c>
      <c r="P23" s="189">
        <f t="shared" si="14"/>
        <v>-74463.81355220417</v>
      </c>
      <c r="Q23" s="189">
        <f t="shared" si="14"/>
        <v>-74463.81355220417</v>
      </c>
      <c r="R23" s="189">
        <f t="shared" si="14"/>
        <v>-74463.81355220417</v>
      </c>
      <c r="S23" s="189">
        <f t="shared" si="14"/>
        <v>-74463.81355220417</v>
      </c>
      <c r="T23" s="189">
        <f t="shared" si="14"/>
        <v>-74463.81355220417</v>
      </c>
      <c r="U23" s="189">
        <f t="shared" si="14"/>
        <v>-74463.81355220417</v>
      </c>
      <c r="V23" s="189">
        <f t="shared" si="14"/>
        <v>-74463.81355220417</v>
      </c>
      <c r="W23" s="189">
        <f t="shared" si="14"/>
        <v>-74463.81355220417</v>
      </c>
      <c r="X23" s="189">
        <f t="shared" si="14"/>
        <v>-74463.81355220417</v>
      </c>
      <c r="Y23" s="189">
        <f t="shared" si="14"/>
        <v>-74463.81355220417</v>
      </c>
      <c r="Z23" s="189">
        <f t="shared" si="14"/>
        <v>-74463.81355220417</v>
      </c>
      <c r="AA23" s="189">
        <f t="shared" si="14"/>
        <v>-74463.81355220417</v>
      </c>
      <c r="AB23" s="189">
        <f t="shared" si="14"/>
        <v>-74463.81355220417</v>
      </c>
      <c r="AC23" s="189">
        <f t="shared" si="14"/>
        <v>-74463.81355220417</v>
      </c>
      <c r="AD23" s="189">
        <f t="shared" si="14"/>
        <v>-74463.81355220417</v>
      </c>
      <c r="AE23" s="189">
        <f t="shared" si="14"/>
        <v>-74463.81355220417</v>
      </c>
      <c r="AF23" s="189">
        <f t="shared" si="14"/>
        <v>-74463.81355220417</v>
      </c>
      <c r="AG23" s="189">
        <f t="shared" si="14"/>
        <v>-74463.81355220417</v>
      </c>
      <c r="AH23" s="189">
        <f t="shared" si="14"/>
        <v>-74463.81355220417</v>
      </c>
      <c r="AI23" s="189">
        <f t="shared" si="14"/>
        <v>-74463.81355220417</v>
      </c>
      <c r="AJ23" s="189">
        <f t="shared" si="14"/>
        <v>-74463.81355220417</v>
      </c>
      <c r="AK23" s="189">
        <f t="shared" si="14"/>
        <v>-74463.81355220417</v>
      </c>
      <c r="AL23" s="189">
        <f t="shared" si="14"/>
        <v>-74463.81355220417</v>
      </c>
      <c r="AM23" s="189">
        <f t="shared" si="14"/>
        <v>-74463.81355220417</v>
      </c>
      <c r="AN23" s="189">
        <f t="shared" si="14"/>
        <v>-74463.81355220417</v>
      </c>
      <c r="AO23" s="189">
        <f t="shared" si="14"/>
        <v>-74463.81355220417</v>
      </c>
      <c r="AP23" s="189">
        <f t="shared" si="14"/>
        <v>-74463.81355220417</v>
      </c>
      <c r="AQ23" s="189">
        <f t="shared" si="14"/>
        <v>-74463.81355220417</v>
      </c>
      <c r="AR23" s="189">
        <f t="shared" si="14"/>
        <v>-74463.81355220417</v>
      </c>
      <c r="AS23" s="189">
        <f t="shared" si="14"/>
        <v>-74463.81355220417</v>
      </c>
      <c r="AT23" s="189">
        <f t="shared" si="14"/>
        <v>-74463.81355220417</v>
      </c>
      <c r="AU23" s="189">
        <f t="shared" si="14"/>
        <v>-74463.81355220417</v>
      </c>
      <c r="AV23" s="189">
        <f t="shared" si="14"/>
        <v>-74463.81355220417</v>
      </c>
      <c r="AW23" s="189">
        <f t="shared" si="14"/>
        <v>-74463.81355220417</v>
      </c>
      <c r="AX23" s="189">
        <f t="shared" si="14"/>
        <v>-74463.81355220417</v>
      </c>
      <c r="AY23" s="189">
        <f t="shared" si="14"/>
        <v>-74463.81355220417</v>
      </c>
      <c r="AZ23" s="189">
        <f t="shared" si="14"/>
        <v>-74463.81355220417</v>
      </c>
      <c r="BA23" s="189">
        <f t="shared" si="14"/>
        <v>-74463.81355220417</v>
      </c>
      <c r="BB23" s="189">
        <f t="shared" si="14"/>
        <v>-74463.81355220417</v>
      </c>
      <c r="BC23" s="189">
        <f t="shared" si="14"/>
        <v>-74463.81355220417</v>
      </c>
      <c r="BD23" s="189">
        <f t="shared" si="14"/>
        <v>-74463.81355220417</v>
      </c>
      <c r="BE23" s="189">
        <f t="shared" si="14"/>
        <v>-74463.81355220417</v>
      </c>
      <c r="BF23" s="189">
        <f t="shared" si="14"/>
        <v>-74463.81355220417</v>
      </c>
      <c r="BG23" s="189">
        <f t="shared" si="14"/>
        <v>-74463.81355220417</v>
      </c>
      <c r="BH23" s="189">
        <f t="shared" si="14"/>
        <v>-74463.81355220417</v>
      </c>
      <c r="BI23" s="189">
        <f t="shared" si="14"/>
        <v>-74463.81355220417</v>
      </c>
      <c r="BJ23" s="189">
        <f t="shared" si="14"/>
        <v>-74463.81355220417</v>
      </c>
      <c r="BK23" s="189">
        <f t="shared" si="14"/>
        <v>-74463.81355220417</v>
      </c>
      <c r="BL23" s="189">
        <f t="shared" si="14"/>
        <v>-74463.81355220417</v>
      </c>
      <c r="BM23" s="189">
        <f t="shared" si="14"/>
        <v>-74463.81355220417</v>
      </c>
      <c r="BN23" s="189">
        <f t="shared" si="14"/>
        <v>-74463.81355220417</v>
      </c>
      <c r="BO23" s="189">
        <f t="shared" si="14"/>
        <v>-74463.81355220417</v>
      </c>
      <c r="BP23" s="189">
        <f t="shared" ref="BP23:CY23" si="15">IFERROR(BP21-BP22,"")</f>
        <v>-74463.81355220417</v>
      </c>
      <c r="BQ23" s="189">
        <f t="shared" si="15"/>
        <v>-74463.81355220417</v>
      </c>
      <c r="BR23" s="189">
        <f t="shared" si="15"/>
        <v>-74463.81355220417</v>
      </c>
      <c r="BS23" s="189">
        <f t="shared" si="15"/>
        <v>-74463.81355220417</v>
      </c>
      <c r="BT23" s="189">
        <f t="shared" si="15"/>
        <v>-74463.81355220417</v>
      </c>
      <c r="BU23" s="189">
        <f t="shared" si="15"/>
        <v>-74463.81355220417</v>
      </c>
      <c r="BV23" s="189">
        <f t="shared" si="15"/>
        <v>-74463.81355220417</v>
      </c>
      <c r="BW23" s="189">
        <f t="shared" si="15"/>
        <v>-74463.81355220417</v>
      </c>
      <c r="BX23" s="189">
        <f t="shared" si="15"/>
        <v>-74463.81355220417</v>
      </c>
      <c r="BY23" s="189">
        <f t="shared" si="15"/>
        <v>-74463.81355220417</v>
      </c>
      <c r="BZ23" s="189">
        <f t="shared" si="15"/>
        <v>-74463.81355220417</v>
      </c>
      <c r="CA23" s="189">
        <f t="shared" si="15"/>
        <v>-74463.81355220417</v>
      </c>
      <c r="CB23" s="189">
        <f t="shared" si="15"/>
        <v>-74463.81355220417</v>
      </c>
      <c r="CC23" s="189">
        <f t="shared" si="15"/>
        <v>-74463.81355220417</v>
      </c>
      <c r="CD23" s="189">
        <f t="shared" si="15"/>
        <v>-74463.81355220417</v>
      </c>
      <c r="CE23" s="189">
        <f t="shared" si="15"/>
        <v>-74463.81355220417</v>
      </c>
      <c r="CF23" s="189">
        <f t="shared" si="15"/>
        <v>-74463.81355220417</v>
      </c>
      <c r="CG23" s="189">
        <f t="shared" si="15"/>
        <v>-74463.81355220417</v>
      </c>
      <c r="CH23" s="189">
        <f t="shared" si="15"/>
        <v>-74463.81355220417</v>
      </c>
      <c r="CI23" s="189">
        <f t="shared" si="15"/>
        <v>-74463.81355220417</v>
      </c>
      <c r="CJ23" s="189">
        <f t="shared" si="15"/>
        <v>-74463.81355220417</v>
      </c>
      <c r="CK23" s="189">
        <f t="shared" si="15"/>
        <v>-74463.81355220417</v>
      </c>
      <c r="CL23" s="189">
        <f t="shared" si="15"/>
        <v>-74463.81355220417</v>
      </c>
      <c r="CM23" s="189">
        <f t="shared" si="15"/>
        <v>-74463.81355220417</v>
      </c>
      <c r="CN23" s="189">
        <f t="shared" si="15"/>
        <v>-74463.81355220417</v>
      </c>
      <c r="CO23" s="189">
        <f t="shared" si="15"/>
        <v>-74463.81355220417</v>
      </c>
      <c r="CP23" s="189">
        <f t="shared" si="15"/>
        <v>-74463.81355220417</v>
      </c>
      <c r="CQ23" s="189">
        <f t="shared" si="15"/>
        <v>-74463.81355220417</v>
      </c>
      <c r="CR23" s="189">
        <f t="shared" si="15"/>
        <v>-74463.81355220417</v>
      </c>
      <c r="CS23" s="189">
        <f t="shared" si="15"/>
        <v>-74463.81355220417</v>
      </c>
      <c r="CT23" s="189">
        <f t="shared" si="15"/>
        <v>-74463.81355220417</v>
      </c>
      <c r="CU23" s="189">
        <f t="shared" si="15"/>
        <v>-74463.81355220417</v>
      </c>
      <c r="CV23" s="189">
        <f t="shared" si="15"/>
        <v>-74463.81355220417</v>
      </c>
      <c r="CW23" s="189">
        <f t="shared" si="15"/>
        <v>-74463.81355220417</v>
      </c>
      <c r="CX23" s="189">
        <f t="shared" si="15"/>
        <v>-74463.81355220417</v>
      </c>
      <c r="CY23" s="189">
        <f t="shared" si="15"/>
        <v>-74463.81355220417</v>
      </c>
      <c r="CZ23" s="210" t="s">
        <v>59</v>
      </c>
      <c r="DA23" s="32">
        <v>5.4</v>
      </c>
      <c r="DB23" s="184" t="s">
        <v>60</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3">
      <c r="A24" s="208" t="s">
        <v>61</v>
      </c>
      <c r="B24" s="50"/>
      <c r="C24" s="101">
        <f>IFERROR(C23*0.2,"")</f>
        <v>480.92616920416481</v>
      </c>
      <c r="D24" s="101">
        <f t="shared" ref="D24:BO24" si="16">IFERROR(D23*0.2,"")</f>
        <v>2089.7020532091642</v>
      </c>
      <c r="E24" s="101">
        <f t="shared" si="16"/>
        <v>-14892.762710440835</v>
      </c>
      <c r="F24" s="101">
        <f t="shared" si="16"/>
        <v>-14892.762710440835</v>
      </c>
      <c r="G24" s="101">
        <f t="shared" si="16"/>
        <v>-14892.762710440835</v>
      </c>
      <c r="H24" s="101">
        <f t="shared" si="16"/>
        <v>-14892.762710440835</v>
      </c>
      <c r="I24" s="101">
        <f t="shared" si="16"/>
        <v>-14892.762710440835</v>
      </c>
      <c r="J24" s="101">
        <f t="shared" si="16"/>
        <v>-14892.762710440835</v>
      </c>
      <c r="K24" s="101">
        <f t="shared" si="16"/>
        <v>-14892.762710440835</v>
      </c>
      <c r="L24" s="101">
        <f t="shared" si="16"/>
        <v>-14892.762710440835</v>
      </c>
      <c r="M24" s="101">
        <f t="shared" si="16"/>
        <v>-14892.762710440835</v>
      </c>
      <c r="N24" s="101">
        <f t="shared" si="16"/>
        <v>-14892.762710440835</v>
      </c>
      <c r="O24" s="101">
        <f t="shared" si="16"/>
        <v>-14892.762710440835</v>
      </c>
      <c r="P24" s="101">
        <f t="shared" si="16"/>
        <v>-14892.762710440835</v>
      </c>
      <c r="Q24" s="101">
        <f t="shared" si="16"/>
        <v>-14892.762710440835</v>
      </c>
      <c r="R24" s="101">
        <f t="shared" si="16"/>
        <v>-14892.762710440835</v>
      </c>
      <c r="S24" s="101">
        <f t="shared" si="16"/>
        <v>-14892.762710440835</v>
      </c>
      <c r="T24" s="101">
        <f t="shared" si="16"/>
        <v>-14892.762710440835</v>
      </c>
      <c r="U24" s="101">
        <f t="shared" si="16"/>
        <v>-14892.762710440835</v>
      </c>
      <c r="V24" s="101">
        <f t="shared" si="16"/>
        <v>-14892.762710440835</v>
      </c>
      <c r="W24" s="101">
        <f t="shared" si="16"/>
        <v>-14892.762710440835</v>
      </c>
      <c r="X24" s="101">
        <f t="shared" si="16"/>
        <v>-14892.762710440835</v>
      </c>
      <c r="Y24" s="101">
        <f t="shared" si="16"/>
        <v>-14892.762710440835</v>
      </c>
      <c r="Z24" s="101">
        <f t="shared" si="16"/>
        <v>-14892.762710440835</v>
      </c>
      <c r="AA24" s="101">
        <f t="shared" si="16"/>
        <v>-14892.762710440835</v>
      </c>
      <c r="AB24" s="101">
        <f t="shared" si="16"/>
        <v>-14892.762710440835</v>
      </c>
      <c r="AC24" s="101">
        <f t="shared" si="16"/>
        <v>-14892.762710440835</v>
      </c>
      <c r="AD24" s="101">
        <f t="shared" si="16"/>
        <v>-14892.762710440835</v>
      </c>
      <c r="AE24" s="101">
        <f t="shared" si="16"/>
        <v>-14892.762710440835</v>
      </c>
      <c r="AF24" s="101">
        <f t="shared" si="16"/>
        <v>-14892.762710440835</v>
      </c>
      <c r="AG24" s="101">
        <f t="shared" si="16"/>
        <v>-14892.762710440835</v>
      </c>
      <c r="AH24" s="101">
        <f t="shared" si="16"/>
        <v>-14892.762710440835</v>
      </c>
      <c r="AI24" s="101">
        <f t="shared" si="16"/>
        <v>-14892.762710440835</v>
      </c>
      <c r="AJ24" s="101">
        <f t="shared" si="16"/>
        <v>-14892.762710440835</v>
      </c>
      <c r="AK24" s="101">
        <f t="shared" si="16"/>
        <v>-14892.762710440835</v>
      </c>
      <c r="AL24" s="101">
        <f t="shared" si="16"/>
        <v>-14892.762710440835</v>
      </c>
      <c r="AM24" s="101">
        <f t="shared" si="16"/>
        <v>-14892.762710440835</v>
      </c>
      <c r="AN24" s="101">
        <f t="shared" si="16"/>
        <v>-14892.762710440835</v>
      </c>
      <c r="AO24" s="101">
        <f t="shared" si="16"/>
        <v>-14892.762710440835</v>
      </c>
      <c r="AP24" s="101">
        <f t="shared" si="16"/>
        <v>-14892.762710440835</v>
      </c>
      <c r="AQ24" s="101">
        <f t="shared" si="16"/>
        <v>-14892.762710440835</v>
      </c>
      <c r="AR24" s="101">
        <f t="shared" si="16"/>
        <v>-14892.762710440835</v>
      </c>
      <c r="AS24" s="101">
        <f t="shared" si="16"/>
        <v>-14892.762710440835</v>
      </c>
      <c r="AT24" s="101">
        <f t="shared" si="16"/>
        <v>-14892.762710440835</v>
      </c>
      <c r="AU24" s="101">
        <f t="shared" si="16"/>
        <v>-14892.762710440835</v>
      </c>
      <c r="AV24" s="101">
        <f t="shared" si="16"/>
        <v>-14892.762710440835</v>
      </c>
      <c r="AW24" s="101">
        <f t="shared" si="16"/>
        <v>-14892.762710440835</v>
      </c>
      <c r="AX24" s="101">
        <f t="shared" si="16"/>
        <v>-14892.762710440835</v>
      </c>
      <c r="AY24" s="101">
        <f t="shared" si="16"/>
        <v>-14892.762710440835</v>
      </c>
      <c r="AZ24" s="101">
        <f t="shared" si="16"/>
        <v>-14892.762710440835</v>
      </c>
      <c r="BA24" s="101">
        <f t="shared" si="16"/>
        <v>-14892.762710440835</v>
      </c>
      <c r="BB24" s="101">
        <f t="shared" si="16"/>
        <v>-14892.762710440835</v>
      </c>
      <c r="BC24" s="101">
        <f t="shared" si="16"/>
        <v>-14892.762710440835</v>
      </c>
      <c r="BD24" s="101">
        <f t="shared" si="16"/>
        <v>-14892.762710440835</v>
      </c>
      <c r="BE24" s="101">
        <f t="shared" si="16"/>
        <v>-14892.762710440835</v>
      </c>
      <c r="BF24" s="101">
        <f t="shared" si="16"/>
        <v>-14892.762710440835</v>
      </c>
      <c r="BG24" s="101">
        <f t="shared" si="16"/>
        <v>-14892.762710440835</v>
      </c>
      <c r="BH24" s="101">
        <f t="shared" si="16"/>
        <v>-14892.762710440835</v>
      </c>
      <c r="BI24" s="101">
        <f t="shared" si="16"/>
        <v>-14892.762710440835</v>
      </c>
      <c r="BJ24" s="101">
        <f t="shared" si="16"/>
        <v>-14892.762710440835</v>
      </c>
      <c r="BK24" s="101">
        <f t="shared" si="16"/>
        <v>-14892.762710440835</v>
      </c>
      <c r="BL24" s="101">
        <f t="shared" si="16"/>
        <v>-14892.762710440835</v>
      </c>
      <c r="BM24" s="101">
        <f t="shared" si="16"/>
        <v>-14892.762710440835</v>
      </c>
      <c r="BN24" s="101">
        <f t="shared" si="16"/>
        <v>-14892.762710440835</v>
      </c>
      <c r="BO24" s="101">
        <f t="shared" si="16"/>
        <v>-14892.762710440835</v>
      </c>
      <c r="BP24" s="101">
        <f t="shared" ref="BP24:CY24" si="17">IFERROR(BP23*0.2,"")</f>
        <v>-14892.762710440835</v>
      </c>
      <c r="BQ24" s="101">
        <f t="shared" si="17"/>
        <v>-14892.762710440835</v>
      </c>
      <c r="BR24" s="101">
        <f t="shared" si="17"/>
        <v>-14892.762710440835</v>
      </c>
      <c r="BS24" s="101">
        <f t="shared" si="17"/>
        <v>-14892.762710440835</v>
      </c>
      <c r="BT24" s="101">
        <f t="shared" si="17"/>
        <v>-14892.762710440835</v>
      </c>
      <c r="BU24" s="101">
        <f t="shared" si="17"/>
        <v>-14892.762710440835</v>
      </c>
      <c r="BV24" s="101">
        <f t="shared" si="17"/>
        <v>-14892.762710440835</v>
      </c>
      <c r="BW24" s="101">
        <f t="shared" si="17"/>
        <v>-14892.762710440835</v>
      </c>
      <c r="BX24" s="101">
        <f t="shared" si="17"/>
        <v>-14892.762710440835</v>
      </c>
      <c r="BY24" s="101">
        <f t="shared" si="17"/>
        <v>-14892.762710440835</v>
      </c>
      <c r="BZ24" s="101">
        <f t="shared" si="17"/>
        <v>-14892.762710440835</v>
      </c>
      <c r="CA24" s="101">
        <f t="shared" si="17"/>
        <v>-14892.762710440835</v>
      </c>
      <c r="CB24" s="101">
        <f t="shared" si="17"/>
        <v>-14892.762710440835</v>
      </c>
      <c r="CC24" s="101">
        <f t="shared" si="17"/>
        <v>-14892.762710440835</v>
      </c>
      <c r="CD24" s="101">
        <f t="shared" si="17"/>
        <v>-14892.762710440835</v>
      </c>
      <c r="CE24" s="101">
        <f t="shared" si="17"/>
        <v>-14892.762710440835</v>
      </c>
      <c r="CF24" s="101">
        <f t="shared" si="17"/>
        <v>-14892.762710440835</v>
      </c>
      <c r="CG24" s="101">
        <f t="shared" si="17"/>
        <v>-14892.762710440835</v>
      </c>
      <c r="CH24" s="101">
        <f t="shared" si="17"/>
        <v>-14892.762710440835</v>
      </c>
      <c r="CI24" s="101">
        <f t="shared" si="17"/>
        <v>-14892.762710440835</v>
      </c>
      <c r="CJ24" s="101">
        <f t="shared" si="17"/>
        <v>-14892.762710440835</v>
      </c>
      <c r="CK24" s="101">
        <f t="shared" si="17"/>
        <v>-14892.762710440835</v>
      </c>
      <c r="CL24" s="101">
        <f t="shared" si="17"/>
        <v>-14892.762710440835</v>
      </c>
      <c r="CM24" s="101">
        <f t="shared" si="17"/>
        <v>-14892.762710440835</v>
      </c>
      <c r="CN24" s="101">
        <f t="shared" si="17"/>
        <v>-14892.762710440835</v>
      </c>
      <c r="CO24" s="101">
        <f t="shared" si="17"/>
        <v>-14892.762710440835</v>
      </c>
      <c r="CP24" s="101">
        <f t="shared" si="17"/>
        <v>-14892.762710440835</v>
      </c>
      <c r="CQ24" s="101">
        <f t="shared" si="17"/>
        <v>-14892.762710440835</v>
      </c>
      <c r="CR24" s="101">
        <f t="shared" si="17"/>
        <v>-14892.762710440835</v>
      </c>
      <c r="CS24" s="101">
        <f t="shared" si="17"/>
        <v>-14892.762710440835</v>
      </c>
      <c r="CT24" s="101">
        <f t="shared" si="17"/>
        <v>-14892.762710440835</v>
      </c>
      <c r="CU24" s="101">
        <f t="shared" si="17"/>
        <v>-14892.762710440835</v>
      </c>
      <c r="CV24" s="101">
        <f t="shared" si="17"/>
        <v>-14892.762710440835</v>
      </c>
      <c r="CW24" s="101">
        <f t="shared" si="17"/>
        <v>-14892.762710440835</v>
      </c>
      <c r="CX24" s="101">
        <f t="shared" si="17"/>
        <v>-14892.762710440835</v>
      </c>
      <c r="CY24" s="101">
        <f t="shared" si="17"/>
        <v>-14892.762710440835</v>
      </c>
      <c r="CZ24" s="211" t="s">
        <v>62</v>
      </c>
      <c r="DA24" s="32">
        <v>5.4</v>
      </c>
      <c r="DB24" s="184" t="s">
        <v>63</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3">
      <c r="A25" s="208" t="s">
        <v>64</v>
      </c>
      <c r="B25" s="50"/>
      <c r="C25" s="44">
        <f>IF(SUM($C$23:C23)&gt;=0,0,C24)</f>
        <v>0</v>
      </c>
      <c r="D25" s="44">
        <f>IF(SUM($C$25:C$25)&lt;0,MIN(D24,ABS(SUM($C$25:C$25))),IF(SUM($C23:D23)&lt;0,MIN(0,D24),0))</f>
        <v>0</v>
      </c>
      <c r="E25" s="44">
        <f>IF(SUM($C$25:D$25)&lt;0,MIN(E24,ABS(SUM($C$25:D$25))),IF(SUM($C23:E23)&lt;0,MIN(0,E24),0))</f>
        <v>-14892.762710440835</v>
      </c>
      <c r="F25" s="44">
        <f>IF(SUM($C$25:E$25)&lt;0,MIN(F24,ABS(SUM($C$25:E$25))),IF(SUM($C23:F23)&lt;0,MIN(0,F24),0))</f>
        <v>-14892.762710440835</v>
      </c>
      <c r="G25" s="44">
        <f>IF(SUM($C$25:F$25)&lt;0,MIN(G24,ABS(SUM($C$25:F$25))),IF(SUM($C23:G23)&lt;0,MIN(0,G24),0))</f>
        <v>-14892.762710440835</v>
      </c>
      <c r="H25" s="44">
        <f>IF(SUM($C$25:G$25)&lt;0,MIN(H24,ABS(SUM($C$25:G$25))),IF(SUM($C23:H23)&lt;0,MIN(0,H24),0))</f>
        <v>-14892.762710440835</v>
      </c>
      <c r="I25" s="44">
        <f>IF(SUM($C$25:H$25)&lt;0,MIN(I24,ABS(SUM($C$25:H$25))),IF(SUM($C23:I23)&lt;0,MIN(0,I24),0))</f>
        <v>-14892.762710440835</v>
      </c>
      <c r="J25" s="44">
        <f>IF(SUM($C$25:I$25)&lt;0,MIN(J24,ABS(SUM($C$25:I$25))),IF(SUM($C23:J23)&lt;0,MIN(0,J24),0))</f>
        <v>-14892.762710440835</v>
      </c>
      <c r="K25" s="44">
        <f>IF(SUM($C$25:J$25)&lt;0,MIN(K24,ABS(SUM($C$25:J$25))),IF(SUM($C23:K23)&lt;0,MIN(0,K24),0))</f>
        <v>-14892.762710440835</v>
      </c>
      <c r="L25" s="44">
        <f>IF(SUM($C$25:K$25)&lt;0,MIN(L24,ABS(SUM($C$25:K$25))),IF(SUM($C23:L23)&lt;0,MIN(0,L24),0))</f>
        <v>-14892.762710440835</v>
      </c>
      <c r="M25" s="44">
        <f>IF(SUM($C$25:L$25)&lt;0,MIN(M24,ABS(SUM($C$25:L$25))),IF(SUM($C23:M23)&lt;0,MIN(0,M24),0))</f>
        <v>-14892.762710440835</v>
      </c>
      <c r="N25" s="44">
        <f>IF(SUM($C$25:M$25)&lt;0,MIN(N24,ABS(SUM($C$25:M$25))),IF(SUM($C23:N23)&lt;0,MIN(0,N24),0))</f>
        <v>-14892.762710440835</v>
      </c>
      <c r="O25" s="44">
        <f>IF(SUM($C$25:N$25)&lt;0,MIN(O24,ABS(SUM($C$25:N$25))),IF(SUM($C23:O23)&lt;0,MIN(0,O24),0))</f>
        <v>-14892.762710440835</v>
      </c>
      <c r="P25" s="44">
        <f>IF(SUM($C$25:O$25)&lt;0,MIN(P24,ABS(SUM($C$25:O$25))),IF(SUM($C23:P23)&lt;0,MIN(0,P24),0))</f>
        <v>-14892.762710440835</v>
      </c>
      <c r="Q25" s="44">
        <f>IF(SUM($C$25:P$25)&lt;0,MIN(Q24,ABS(SUM($C$25:P$25))),IF(SUM($C23:Q23)&lt;0,MIN(0,Q24),0))</f>
        <v>-14892.762710440835</v>
      </c>
      <c r="R25" s="44">
        <f>IF(SUM($C$25:Q$25)&lt;0,MIN(R24,ABS(SUM($C$25:Q$25))),IF(SUM($C23:R23)&lt;0,MIN(0,R24),0))</f>
        <v>-14892.762710440835</v>
      </c>
      <c r="S25" s="44">
        <f>IF(SUM($C$25:R$25)&lt;0,MIN(S24,ABS(SUM($C$25:R$25))),IF(SUM($C23:S23)&lt;0,MIN(0,S24),0))</f>
        <v>-14892.762710440835</v>
      </c>
      <c r="T25" s="44">
        <f>IF(SUM($C$25:S$25)&lt;0,MIN(T24,ABS(SUM($C$25:S$25))),IF(SUM($C23:T23)&lt;0,MIN(0,T24),0))</f>
        <v>-14892.762710440835</v>
      </c>
      <c r="U25" s="44">
        <f>IF(SUM($C$25:T$25)&lt;0,MIN(U24,ABS(SUM($C$25:T$25))),IF(SUM($C23:U23)&lt;0,MIN(0,U24),0))</f>
        <v>-14892.762710440835</v>
      </c>
      <c r="V25" s="44">
        <f>IF(SUM($C$25:U$25)&lt;0,MIN(V24,ABS(SUM($C$25:U$25))),IF(SUM($C23:V23)&lt;0,MIN(0,V24),0))</f>
        <v>-14892.762710440835</v>
      </c>
      <c r="W25" s="44">
        <f>IF(SUM($C$25:V$25)&lt;0,MIN(W24,ABS(SUM($C$25:V$25))),IF(SUM($C23:W23)&lt;0,MIN(0,W24),0))</f>
        <v>-14892.762710440835</v>
      </c>
      <c r="X25" s="44">
        <f>IF(SUM($C$25:W$25)&lt;0,MIN(X24,ABS(SUM($C$25:W$25))),IF(SUM($C23:X23)&lt;0,MIN(0,X24),0))</f>
        <v>-14892.762710440835</v>
      </c>
      <c r="Y25" s="44">
        <f>IF(SUM($C$25:X$25)&lt;0,MIN(Y24,ABS(SUM($C$25:X$25))),IF(SUM($C23:Y23)&lt;0,MIN(0,Y24),0))</f>
        <v>-14892.762710440835</v>
      </c>
      <c r="Z25" s="44">
        <f>IF(SUM($C$25:Y$25)&lt;0,MIN(Z24,ABS(SUM($C$25:Y$25))),IF(SUM($C23:Z23)&lt;0,MIN(0,Z24),0))</f>
        <v>-14892.762710440835</v>
      </c>
      <c r="AA25" s="44">
        <f>IF(SUM($C$25:Z$25)&lt;0,MIN(AA24,ABS(SUM($C$25:Z$25))),IF(SUM($C23:AA23)&lt;0,MIN(0,AA24),0))</f>
        <v>-14892.762710440835</v>
      </c>
      <c r="AB25" s="44">
        <f>IF(SUM($C$25:AA$25)&lt;0,MIN(AB24,ABS(SUM($C$25:AA$25))),IF(SUM($C23:AB23)&lt;0,MIN(0,AB24),0))</f>
        <v>-14892.762710440835</v>
      </c>
      <c r="AC25" s="44">
        <f>IF(SUM($C$25:AB$25)&lt;0,MIN(AC24,ABS(SUM($C$25:AB$25))),IF(SUM($C23:AC23)&lt;0,MIN(0,AC24),0))</f>
        <v>-14892.762710440835</v>
      </c>
      <c r="AD25" s="44">
        <f>IF(SUM($C$25:AC$25)&lt;0,MIN(AD24,ABS(SUM($C$25:AC$25))),IF(SUM($C23:AD23)&lt;0,MIN(0,AD24),0))</f>
        <v>-14892.762710440835</v>
      </c>
      <c r="AE25" s="44">
        <f>IF(SUM($C$25:AD$25)&lt;0,MIN(AE24,ABS(SUM($C$25:AD$25))),IF(SUM($C23:AE23)&lt;0,MIN(0,AE24),0))</f>
        <v>-14892.762710440835</v>
      </c>
      <c r="AF25" s="44">
        <f>IF(SUM($C$25:AE$25)&lt;0,MIN(AF24,ABS(SUM($C$25:AE$25))),IF(SUM($C23:AF23)&lt;0,MIN(0,AF24),0))</f>
        <v>-14892.762710440835</v>
      </c>
      <c r="AG25" s="44">
        <f>IF(SUM($C$25:AF$25)&lt;0,MIN(AG24,ABS(SUM($C$25:AF$25))),IF(SUM($C23:AG23)&lt;0,MIN(0,AG24),0))</f>
        <v>-14892.762710440835</v>
      </c>
      <c r="AH25" s="44">
        <f>IF(SUM($C$25:AG$25)&lt;0,MIN(AH24,ABS(SUM($C$25:AG$25))),IF(SUM($C23:AH23)&lt;0,MIN(0,AH24),0))</f>
        <v>-14892.762710440835</v>
      </c>
      <c r="AI25" s="44">
        <f>IF(SUM($C$25:AH$25)&lt;0,MIN(AI24,ABS(SUM($C$25:AH$25))),IF(SUM($C23:AI23)&lt;0,MIN(0,AI24),0))</f>
        <v>-14892.762710440835</v>
      </c>
      <c r="AJ25" s="44">
        <f>IF(SUM($C$25:AI$25)&lt;0,MIN(AJ24,ABS(SUM($C$25:AI$25))),IF(SUM($C23:AJ23)&lt;0,MIN(0,AJ24),0))</f>
        <v>-14892.762710440835</v>
      </c>
      <c r="AK25" s="44">
        <f>IF(SUM($C$25:AJ$25)&lt;0,MIN(AK24,ABS(SUM($C$25:AJ$25))),IF(SUM($C23:AK23)&lt;0,MIN(0,AK24),0))</f>
        <v>-14892.762710440835</v>
      </c>
      <c r="AL25" s="44">
        <f>IF(SUM($C$25:AK$25)&lt;0,MIN(AL24,ABS(SUM($C$25:AK$25))),IF(SUM($C23:AL23)&lt;0,MIN(0,AL24),0))</f>
        <v>-14892.762710440835</v>
      </c>
      <c r="AM25" s="44">
        <f>IF(SUM($C$25:AL$25)&lt;0,MIN(AM24,ABS(SUM($C$25:AL$25))),IF(SUM($C23:AM23)&lt;0,MIN(0,AM24),0))</f>
        <v>-14892.762710440835</v>
      </c>
      <c r="AN25" s="44">
        <f>IF(SUM($C$25:AM$25)&lt;0,MIN(AN24,ABS(SUM($C$25:AM$25))),IF(SUM($C23:AN23)&lt;0,MIN(0,AN24),0))</f>
        <v>-14892.762710440835</v>
      </c>
      <c r="AO25" s="44">
        <f>IF(SUM($C$25:AN$25)&lt;0,MIN(AO24,ABS(SUM($C$25:AN$25))),IF(SUM($C23:AO23)&lt;0,MIN(0,AO24),0))</f>
        <v>-14892.762710440835</v>
      </c>
      <c r="AP25" s="44">
        <f>IF(SUM($C$25:AO$25)&lt;0,MIN(AP24,ABS(SUM($C$25:AO$25))),IF(SUM($C23:AP23)&lt;0,MIN(0,AP24),0))</f>
        <v>-14892.762710440835</v>
      </c>
      <c r="AQ25" s="44">
        <f>IF(SUM($C$25:AP$25)&lt;0,MIN(AQ24,ABS(SUM($C$25:AP$25))),IF(SUM($C23:AQ23)&lt;0,MIN(0,AQ24),0))</f>
        <v>-14892.762710440835</v>
      </c>
      <c r="AR25" s="44">
        <f>IF(SUM($C$25:AQ$25)&lt;0,MIN(AR24,ABS(SUM($C$25:AQ$25))),IF(SUM($C23:AR23)&lt;0,MIN(0,AR24),0))</f>
        <v>-14892.762710440835</v>
      </c>
      <c r="AS25" s="44">
        <f>IF(SUM($C$25:AR$25)&lt;0,MIN(AS24,ABS(SUM($C$25:AR$25))),IF(SUM($C23:AS23)&lt;0,MIN(0,AS24),0))</f>
        <v>-14892.762710440835</v>
      </c>
      <c r="AT25" s="44">
        <f>IF(SUM($C$25:AS$25)&lt;0,MIN(AT24,ABS(SUM($C$25:AS$25))),IF(SUM($C23:AT23)&lt;0,MIN(0,AT24),0))</f>
        <v>-14892.762710440835</v>
      </c>
      <c r="AU25" s="44">
        <f>IF(SUM($C$25:AT$25)&lt;0,MIN(AU24,ABS(SUM($C$25:AT$25))),IF(SUM($C23:AU23)&lt;0,MIN(0,AU24),0))</f>
        <v>-14892.762710440835</v>
      </c>
      <c r="AV25" s="44">
        <f>IF(SUM($C$25:AU$25)&lt;0,MIN(AV24,ABS(SUM($C$25:AU$25))),IF(SUM($C23:AV23)&lt;0,MIN(0,AV24),0))</f>
        <v>-14892.762710440835</v>
      </c>
      <c r="AW25" s="44">
        <f>IF(SUM($C$25:AV$25)&lt;0,MIN(AW24,ABS(SUM($C$25:AV$25))),IF(SUM($C23:AW23)&lt;0,MIN(0,AW24),0))</f>
        <v>-14892.762710440835</v>
      </c>
      <c r="AX25" s="44">
        <f>IF(SUM($C$25:AW$25)&lt;0,MIN(AX24,ABS(SUM($C$25:AW$25))),IF(SUM($C23:AX23)&lt;0,MIN(0,AX24),0))</f>
        <v>-14892.762710440835</v>
      </c>
      <c r="AY25" s="44">
        <f>IF(SUM($C$25:AX$25)&lt;0,MIN(AY24,ABS(SUM($C$25:AX$25))),IF(SUM($C23:AY23)&lt;0,MIN(0,AY24),0))</f>
        <v>-14892.762710440835</v>
      </c>
      <c r="AZ25" s="44">
        <f>IF(SUM($C$25:AY$25)&lt;0,MIN(AZ24,ABS(SUM($C$25:AY$25))),IF(SUM($C23:AZ23)&lt;0,MIN(0,AZ24),0))</f>
        <v>-14892.762710440835</v>
      </c>
      <c r="BA25" s="44">
        <f>IF(SUM($C$25:AZ$25)&lt;0,MIN(BA24,ABS(SUM($C$25:AZ$25))),IF(SUM($C23:BA23)&lt;0,MIN(0,BA24),0))</f>
        <v>-14892.762710440835</v>
      </c>
      <c r="BB25" s="44">
        <f>IF(SUM($C$25:BA$25)&lt;0,MIN(BB24,ABS(SUM($C$25:BA$25))),IF(SUM($C23:BB23)&lt;0,MIN(0,BB24),0))</f>
        <v>-14892.762710440835</v>
      </c>
      <c r="BC25" s="44">
        <f>IF(SUM($C$25:BB$25)&lt;0,MIN(BC24,ABS(SUM($C$25:BB$25))),IF(SUM($C23:BC23)&lt;0,MIN(0,BC24),0))</f>
        <v>-14892.762710440835</v>
      </c>
      <c r="BD25" s="44">
        <f>IF(SUM($C$25:BC$25)&lt;0,MIN(BD24,ABS(SUM($C$25:BC$25))),IF(SUM($C23:BD23)&lt;0,MIN(0,BD24),0))</f>
        <v>-14892.762710440835</v>
      </c>
      <c r="BE25" s="44">
        <f>IF(SUM($C$25:BD$25)&lt;0,MIN(BE24,ABS(SUM($C$25:BD$25))),IF(SUM($C23:BE23)&lt;0,MIN(0,BE24),0))</f>
        <v>-14892.762710440835</v>
      </c>
      <c r="BF25" s="44">
        <f>IF(SUM($C$25:BE$25)&lt;0,MIN(BF24,ABS(SUM($C$25:BE$25))),IF(SUM($C23:BF23)&lt;0,MIN(0,BF24),0))</f>
        <v>-14892.762710440835</v>
      </c>
      <c r="BG25" s="44">
        <f>IF(SUM($C$25:BF$25)&lt;0,MIN(BG24,ABS(SUM($C$25:BF$25))),IF(SUM($C23:BG23)&lt;0,MIN(0,BG24),0))</f>
        <v>-14892.762710440835</v>
      </c>
      <c r="BH25" s="44">
        <f>IF(SUM($C$25:BG$25)&lt;0,MIN(BH24,ABS(SUM($C$25:BG$25))),IF(SUM($C23:BH23)&lt;0,MIN(0,BH24),0))</f>
        <v>-14892.762710440835</v>
      </c>
      <c r="BI25" s="44">
        <f>IF(SUM($C$25:BH$25)&lt;0,MIN(BI24,ABS(SUM($C$25:BH$25))),IF(SUM($C23:BI23)&lt;0,MIN(0,BI24),0))</f>
        <v>-14892.762710440835</v>
      </c>
      <c r="BJ25" s="44">
        <f>IF(SUM($C$25:BI$25)&lt;0,MIN(BJ24,ABS(SUM($C$25:BI$25))),IF(SUM($C23:BJ23)&lt;0,MIN(0,BJ24),0))</f>
        <v>-14892.762710440835</v>
      </c>
      <c r="BK25" s="44">
        <f>IF(SUM($C$25:BJ$25)&lt;0,MIN(BK24,ABS(SUM($C$25:BJ$25))),IF(SUM($C23:BK23)&lt;0,MIN(0,BK24),0))</f>
        <v>-14892.762710440835</v>
      </c>
      <c r="BL25" s="44">
        <f>IF(SUM($C$25:BK$25)&lt;0,MIN(BL24,ABS(SUM($C$25:BK$25))),IF(SUM($C23:BL23)&lt;0,MIN(0,BL24),0))</f>
        <v>-14892.762710440835</v>
      </c>
      <c r="BM25" s="44">
        <f>IF(SUM($C$25:BL$25)&lt;0,MIN(BM24,ABS(SUM($C$25:BL$25))),IF(SUM($C23:BM23)&lt;0,MIN(0,BM24),0))</f>
        <v>-14892.762710440835</v>
      </c>
      <c r="BN25" s="44">
        <f>IF(SUM($C$25:BM$25)&lt;0,MIN(BN24,ABS(SUM($C$25:BM$25))),IF(SUM($C23:BN23)&lt;0,MIN(0,BN24),0))</f>
        <v>-14892.762710440835</v>
      </c>
      <c r="BO25" s="44">
        <f>IF(SUM($C$25:BN$25)&lt;0,MIN(BO24,ABS(SUM($C$25:BN$25))),IF(SUM($C23:BO23)&lt;0,MIN(0,BO24),0))</f>
        <v>-14892.762710440835</v>
      </c>
      <c r="BP25" s="44">
        <f>IF(SUM($C$25:BO$25)&lt;0,MIN(BP24,ABS(SUM($C$25:BO$25))),IF(SUM($C23:BP23)&lt;0,MIN(0,BP24),0))</f>
        <v>-14892.762710440835</v>
      </c>
      <c r="BQ25" s="44">
        <f>IF(SUM($C$25:BP$25)&lt;0,MIN(BQ24,ABS(SUM($C$25:BP$25))),IF(SUM($C23:BQ23)&lt;0,MIN(0,BQ24),0))</f>
        <v>-14892.762710440835</v>
      </c>
      <c r="BR25" s="44">
        <f>IF(SUM($C$25:BQ$25)&lt;0,MIN(BR24,ABS(SUM($C$25:BQ$25))),IF(SUM($C23:BR23)&lt;0,MIN(0,BR24),0))</f>
        <v>-14892.762710440835</v>
      </c>
      <c r="BS25" s="44">
        <f>IF(SUM($C$25:BR$25)&lt;0,MIN(BS24,ABS(SUM($C$25:BR$25))),IF(SUM($C23:BS23)&lt;0,MIN(0,BS24),0))</f>
        <v>-14892.762710440835</v>
      </c>
      <c r="BT25" s="44">
        <f>IF(SUM($C$25:BS$25)&lt;0,MIN(BT24,ABS(SUM($C$25:BS$25))),IF(SUM($C23:BT23)&lt;0,MIN(0,BT24),0))</f>
        <v>-14892.762710440835</v>
      </c>
      <c r="BU25" s="44">
        <f>IF(SUM($C$25:BT$25)&lt;0,MIN(BU24,ABS(SUM($C$25:BT$25))),IF(SUM($C23:BU23)&lt;0,MIN(0,BU24),0))</f>
        <v>-14892.762710440835</v>
      </c>
      <c r="BV25" s="44">
        <f>IF(SUM($C$25:BU$25)&lt;0,MIN(BV24,ABS(SUM($C$25:BU$25))),IF(SUM($C23:BV23)&lt;0,MIN(0,BV24),0))</f>
        <v>-14892.762710440835</v>
      </c>
      <c r="BW25" s="44">
        <f>IF(SUM($C$25:BV$25)&lt;0,MIN(BW24,ABS(SUM($C$25:BV$25))),IF(SUM($C23:BW23)&lt;0,MIN(0,BW24),0))</f>
        <v>-14892.762710440835</v>
      </c>
      <c r="BX25" s="44">
        <f>IF(SUM($C$25:BW$25)&lt;0,MIN(BX24,ABS(SUM($C$25:BW$25))),IF(SUM($C23:BX23)&lt;0,MIN(0,BX24),0))</f>
        <v>-14892.762710440835</v>
      </c>
      <c r="BY25" s="44">
        <f>IF(SUM($C$25:BX$25)&lt;0,MIN(BY24,ABS(SUM($C$25:BX$25))),IF(SUM($C23:BY23)&lt;0,MIN(0,BY24),0))</f>
        <v>-14892.762710440835</v>
      </c>
      <c r="BZ25" s="44">
        <f>IF(SUM($C$25:BY$25)&lt;0,MIN(BZ24,ABS(SUM($C$25:BY$25))),IF(SUM($C23:BZ23)&lt;0,MIN(0,BZ24),0))</f>
        <v>-14892.762710440835</v>
      </c>
      <c r="CA25" s="44">
        <f>IF(SUM($C$25:BZ$25)&lt;0,MIN(CA24,ABS(SUM($C$25:BZ$25))),IF(SUM($C23:CA23)&lt;0,MIN(0,CA24),0))</f>
        <v>-14892.762710440835</v>
      </c>
      <c r="CB25" s="44">
        <f>IF(SUM($C$25:CA$25)&lt;0,MIN(CB24,ABS(SUM($C$25:CA$25))),IF(SUM($C23:CB23)&lt;0,MIN(0,CB24),0))</f>
        <v>-14892.762710440835</v>
      </c>
      <c r="CC25" s="44">
        <f>IF(SUM($C$25:CB$25)&lt;0,MIN(CC24,ABS(SUM($C$25:CB$25))),IF(SUM($C23:CC23)&lt;0,MIN(0,CC24),0))</f>
        <v>-14892.762710440835</v>
      </c>
      <c r="CD25" s="44">
        <f>IF(SUM($C$25:CC$25)&lt;0,MIN(CD24,ABS(SUM($C$25:CC$25))),IF(SUM($C23:CD23)&lt;0,MIN(0,CD24),0))</f>
        <v>-14892.762710440835</v>
      </c>
      <c r="CE25" s="44">
        <f>IF(SUM($C$25:CD$25)&lt;0,MIN(CE24,ABS(SUM($C$25:CD$25))),IF(SUM($C23:CE23)&lt;0,MIN(0,CE24),0))</f>
        <v>-14892.762710440835</v>
      </c>
      <c r="CF25" s="44">
        <f>IF(SUM($C$25:CE$25)&lt;0,MIN(CF24,ABS(SUM($C$25:CE$25))),IF(SUM($C23:CF23)&lt;0,MIN(0,CF24),0))</f>
        <v>-14892.762710440835</v>
      </c>
      <c r="CG25" s="44">
        <f>IF(SUM($C$25:CF$25)&lt;0,MIN(CG24,ABS(SUM($C$25:CF$25))),IF(SUM($C23:CG23)&lt;0,MIN(0,CG24),0))</f>
        <v>-14892.762710440835</v>
      </c>
      <c r="CH25" s="44">
        <f>IF(SUM($C$25:CG$25)&lt;0,MIN(CH24,ABS(SUM($C$25:CG$25))),IF(SUM($C23:CH23)&lt;0,MIN(0,CH24),0))</f>
        <v>-14892.762710440835</v>
      </c>
      <c r="CI25" s="44">
        <f>IF(SUM($C$25:CH$25)&lt;0,MIN(CI24,ABS(SUM($C$25:CH$25))),IF(SUM($C23:CI23)&lt;0,MIN(0,CI24),0))</f>
        <v>-14892.762710440835</v>
      </c>
      <c r="CJ25" s="44">
        <f>IF(SUM($C$25:CI$25)&lt;0,MIN(CJ24,ABS(SUM($C$25:CI$25))),IF(SUM($C23:CJ23)&lt;0,MIN(0,CJ24),0))</f>
        <v>-14892.762710440835</v>
      </c>
      <c r="CK25" s="44">
        <f>IF(SUM($C$25:CJ$25)&lt;0,MIN(CK24,ABS(SUM($C$25:CJ$25))),IF(SUM($C23:CK23)&lt;0,MIN(0,CK24),0))</f>
        <v>-14892.762710440835</v>
      </c>
      <c r="CL25" s="44">
        <f>IF(SUM($C$25:CK$25)&lt;0,MIN(CL24,ABS(SUM($C$25:CK$25))),IF(SUM($C23:CL23)&lt;0,MIN(0,CL24),0))</f>
        <v>-14892.762710440835</v>
      </c>
      <c r="CM25" s="44">
        <f>IF(SUM($C$25:CL$25)&lt;0,MIN(CM24,ABS(SUM($C$25:CL$25))),IF(SUM($C23:CM23)&lt;0,MIN(0,CM24),0))</f>
        <v>-14892.762710440835</v>
      </c>
      <c r="CN25" s="44">
        <f>IF(SUM($C$25:CM$25)&lt;0,MIN(CN24,ABS(SUM($C$25:CM$25))),IF(SUM($C23:CN23)&lt;0,MIN(0,CN24),0))</f>
        <v>-14892.762710440835</v>
      </c>
      <c r="CO25" s="44">
        <f>IF(SUM($C$25:CN$25)&lt;0,MIN(CO24,ABS(SUM($C$25:CN$25))),IF(SUM($C23:CO23)&lt;0,MIN(0,CO24),0))</f>
        <v>-14892.762710440835</v>
      </c>
      <c r="CP25" s="44">
        <f>IF(SUM($C$25:CO$25)&lt;0,MIN(CP24,ABS(SUM($C$25:CO$25))),IF(SUM($C23:CP23)&lt;0,MIN(0,CP24),0))</f>
        <v>-14892.762710440835</v>
      </c>
      <c r="CQ25" s="44">
        <f>IF(SUM($C$25:CP$25)&lt;0,MIN(CQ24,ABS(SUM($C$25:CP$25))),IF(SUM($C23:CQ23)&lt;0,MIN(0,CQ24),0))</f>
        <v>-14892.762710440835</v>
      </c>
      <c r="CR25" s="44">
        <f>IF(SUM($C$25:CQ$25)&lt;0,MIN(CR24,ABS(SUM($C$25:CQ$25))),IF(SUM($C23:CR23)&lt;0,MIN(0,CR24),0))</f>
        <v>-14892.762710440835</v>
      </c>
      <c r="CS25" s="44">
        <f>IF(SUM($C$25:CR$25)&lt;0,MIN(CS24,ABS(SUM($C$25:CR$25))),IF(SUM($C23:CS23)&lt;0,MIN(0,CS24),0))</f>
        <v>-14892.762710440835</v>
      </c>
      <c r="CT25" s="44">
        <f>IF(SUM($C$25:CS$25)&lt;0,MIN(CT24,ABS(SUM($C$25:CS$25))),IF(SUM($C23:CT23)&lt;0,MIN(0,CT24),0))</f>
        <v>-14892.762710440835</v>
      </c>
      <c r="CU25" s="44">
        <f>IF(SUM($C$25:CT$25)&lt;0,MIN(CU24,ABS(SUM($C$25:CT$25))),IF(SUM($C23:CU23)&lt;0,MIN(0,CU24),0))</f>
        <v>-14892.762710440835</v>
      </c>
      <c r="CV25" s="44">
        <f>IF(SUM($C$25:CU$25)&lt;0,MIN(CV24,ABS(SUM($C$25:CU$25))),IF(SUM($C23:CV23)&lt;0,MIN(0,CV24),0))</f>
        <v>-14892.762710440835</v>
      </c>
      <c r="CW25" s="44">
        <f>IF(SUM($C$25:CV$25)&lt;0,MIN(CW24,ABS(SUM($C$25:CV$25))),IF(SUM($C23:CW23)&lt;0,MIN(0,CW24),0))</f>
        <v>-14892.762710440835</v>
      </c>
      <c r="CX25" s="44">
        <f>IF(SUM($C$25:CW$25)&lt;0,MIN(CX24,ABS(SUM($C$25:CW$25))),IF(SUM($C23:CX23)&lt;0,MIN(0,CX24),0))</f>
        <v>-14892.762710440835</v>
      </c>
      <c r="CY25" s="44">
        <f>IF(SUM($C$25:CX$25)&lt;0,MIN(CY24,ABS(SUM($C$25:CX$25))),IF(SUM($C23:CY23)&lt;0,MIN(0,CY24),0))</f>
        <v>-14892.762710440835</v>
      </c>
      <c r="CZ25" s="211" t="s">
        <v>65</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3">
      <c r="A26" s="208" t="s">
        <v>66</v>
      </c>
      <c r="B26" s="50"/>
      <c r="C26" s="50"/>
      <c r="D26" s="44">
        <f>IF(AND(SUM($C$25:C25)&gt;=0,SUM($C$23:C23)&gt;=0),SUM($C$24:C24),0)</f>
        <v>480.92616920416481</v>
      </c>
      <c r="E26" s="44">
        <f>IF(AND(SUM($C$25:D25)&gt;=0,SUM($C$23:D23)&gt;=0),SUM($C$24:D24),0)</f>
        <v>2570.6282224133292</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67</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3">
      <c r="A27" s="208" t="s">
        <v>68</v>
      </c>
      <c r="B27" s="50"/>
      <c r="C27" s="44">
        <f>-C25</f>
        <v>0</v>
      </c>
      <c r="D27" s="44">
        <f>IFERROR(-(IF(AND(SUM($C$23:D23)&lt;0,D25&lt;0),MIN(0,D25+D26),MIN(D24+D26,ABS(SUM($C$27:C$27))))),"")</f>
        <v>0</v>
      </c>
      <c r="E27" s="44">
        <f>IFERROR(-(IF(AND(SUM($C$23:E23)&lt;0,E25&lt;0),MIN(0,E25+E26),MIN(E24+E26,ABS(SUM($C$27:D$27))))),"")</f>
        <v>12322.134488027506</v>
      </c>
      <c r="F27" s="44">
        <f>IFERROR(-(IF(AND(SUM($C$23:F23)&lt;0,F25&lt;0),MIN(0,F25+F26),MIN(F24+F26,ABS(SUM($C$27:E$27))))),"")</f>
        <v>14892.762710440835</v>
      </c>
      <c r="G27" s="44">
        <f>IFERROR(-(IF(AND(SUM($C$23:G23)&lt;0,G25&lt;0),MIN(0,G25+G26),MIN(G24+G26,ABS(SUM($C$27:F$27))))),"")</f>
        <v>14892.762710440835</v>
      </c>
      <c r="H27" s="44">
        <f>IFERROR(-(IF(AND(SUM($C$23:H23)&lt;0,H25&lt;0),MIN(0,H25+H26),MIN(H24+H26,ABS(SUM($C$27:G$27))))),"")</f>
        <v>14892.762710440835</v>
      </c>
      <c r="I27" s="44">
        <f>IFERROR(-(IF(AND(SUM($C$23:I23)&lt;0,I25&lt;0),MIN(0,I25+I26),MIN(I24+I26,ABS(SUM($C$27:H$27))))),"")</f>
        <v>14892.762710440835</v>
      </c>
      <c r="J27" s="44">
        <f>IFERROR(-(IF(AND(SUM($C$23:J23)&lt;0,J25&lt;0),MIN(0,J25+J26),MIN(J24+J26,ABS(SUM($C$27:I$27))))),"")</f>
        <v>14892.762710440835</v>
      </c>
      <c r="K27" s="44">
        <f>IFERROR(-(IF(AND(SUM($C$23:K23)&lt;0,K25&lt;0),MIN(0,K25+K26),MIN(K24+K26,ABS(SUM($C$27:J$27))))),"")</f>
        <v>14892.762710440835</v>
      </c>
      <c r="L27" s="44">
        <f>IFERROR(-(IF(AND(SUM($C$23:L23)&lt;0,L25&lt;0),MIN(0,L25+L26),MIN(L24+L26,ABS(SUM($C$27:K$27))))),"")</f>
        <v>14892.762710440835</v>
      </c>
      <c r="M27" s="44">
        <f>IFERROR(-(IF(AND(SUM($C$23:M23)&lt;0,M25&lt;0),MIN(0,M25+M26),MIN(M24+M26,ABS(SUM($C$27:L$27))))),"")</f>
        <v>14892.762710440835</v>
      </c>
      <c r="N27" s="44">
        <f>IFERROR(-(IF(AND(SUM($C$23:N23)&lt;0,N25&lt;0),MIN(0,N25+N26),MIN(N24+N26,ABS(SUM($C$27:M$27))))),"")</f>
        <v>14892.762710440835</v>
      </c>
      <c r="O27" s="44">
        <f>IFERROR(-(IF(AND(SUM($C$23:O23)&lt;0,O25&lt;0),MIN(0,O25+O26),MIN(O24+O26,ABS(SUM($C$27:N$27))))),"")</f>
        <v>14892.762710440835</v>
      </c>
      <c r="P27" s="44">
        <f>IFERROR(-(IF(AND(SUM($C$23:P23)&lt;0,P25&lt;0),MIN(0,P25+P26),MIN(P24+P26,ABS(SUM($C$27:O$27))))),"")</f>
        <v>14892.762710440835</v>
      </c>
      <c r="Q27" s="44">
        <f>IFERROR(-(IF(AND(SUM($C$23:Q23)&lt;0,Q25&lt;0),MIN(0,Q25+Q26),MIN(Q24+Q26,ABS(SUM($C$27:P$27))))),"")</f>
        <v>14892.762710440835</v>
      </c>
      <c r="R27" s="44">
        <f>IFERROR(-(IF(AND(SUM($C$23:R23)&lt;0,R25&lt;0),MIN(0,R25+R26),MIN(R24+R26,ABS(SUM($C$27:Q$27))))),"")</f>
        <v>14892.762710440835</v>
      </c>
      <c r="S27" s="44">
        <f>IFERROR(-(IF(AND(SUM($C$23:S23)&lt;0,S25&lt;0),MIN(0,S25+S26),MIN(S24+S26,ABS(SUM($C$27:R$27))))),"")</f>
        <v>14892.762710440835</v>
      </c>
      <c r="T27" s="44">
        <f>IFERROR(-(IF(AND(SUM($C$23:T23)&lt;0,T25&lt;0),MIN(0,T25+T26),MIN(T24+T26,ABS(SUM($C$27:S$27))))),"")</f>
        <v>14892.762710440835</v>
      </c>
      <c r="U27" s="44">
        <f>IFERROR(-(IF(AND(SUM($C$23:U23)&lt;0,U25&lt;0),MIN(0,U25+U26),MIN(U24+U26,ABS(SUM($C$27:T$27))))),"")</f>
        <v>14892.762710440835</v>
      </c>
      <c r="V27" s="44">
        <f>IFERROR(-(IF(AND(SUM($C$23:V23)&lt;0,V25&lt;0),MIN(0,V25+V26),MIN(V24+V26,ABS(SUM($C$27:U$27))))),"")</f>
        <v>14892.762710440835</v>
      </c>
      <c r="W27" s="44">
        <f>IFERROR(-(IF(AND(SUM($C$23:W23)&lt;0,W25&lt;0),MIN(0,W25+W26),MIN(W24+W26,ABS(SUM($C$27:V$27))))),"")</f>
        <v>14892.762710440835</v>
      </c>
      <c r="X27" s="44">
        <f>IFERROR(-(IF(AND(SUM($C$23:X23)&lt;0,X25&lt;0),MIN(0,X25+X26),MIN(X24+X26,ABS(SUM($C$27:W$27))))),"")</f>
        <v>14892.762710440835</v>
      </c>
      <c r="Y27" s="44">
        <f>IFERROR(-(IF(AND(SUM($C$23:Y23)&lt;0,Y25&lt;0),MIN(0,Y25+Y26),MIN(Y24+Y26,ABS(SUM($C$27:X$27))))),"")</f>
        <v>14892.762710440835</v>
      </c>
      <c r="Z27" s="44">
        <f>IFERROR(-(IF(AND(SUM($C$23:Z23)&lt;0,Z25&lt;0),MIN(0,Z25+Z26),MIN(Z24+Z26,ABS(SUM($C$27:Y$27))))),"")</f>
        <v>14892.762710440835</v>
      </c>
      <c r="AA27" s="44">
        <f>IFERROR(-(IF(AND(SUM($C$23:AA23)&lt;0,AA25&lt;0),MIN(0,AA25+AA26),MIN(AA24+AA26,ABS(SUM($C$27:Z$27))))),"")</f>
        <v>14892.762710440835</v>
      </c>
      <c r="AB27" s="44">
        <f>IFERROR(-(IF(AND(SUM($C$23:AB23)&lt;0,AB25&lt;0),MIN(0,AB25+AB26),MIN(AB24+AB26,ABS(SUM($C$27:AA$27))))),"")</f>
        <v>14892.762710440835</v>
      </c>
      <c r="AC27" s="44">
        <f>IFERROR(-(IF(AND(SUM($C$23:AC23)&lt;0,AC25&lt;0),MIN(0,AC25+AC26),MIN(AC24+AC26,ABS(SUM($C$27:AB$27))))),"")</f>
        <v>14892.762710440835</v>
      </c>
      <c r="AD27" s="44">
        <f>IFERROR(-(IF(AND(SUM($C$23:AD23)&lt;0,AD25&lt;0),MIN(0,AD25+AD26),MIN(AD24+AD26,ABS(SUM($C$27:AC$27))))),"")</f>
        <v>14892.762710440835</v>
      </c>
      <c r="AE27" s="44">
        <f>IFERROR(-(IF(AND(SUM($C$23:AE23)&lt;0,AE25&lt;0),MIN(0,AE25+AE26),MIN(AE24+AE26,ABS(SUM($C$27:AD$27))))),"")</f>
        <v>14892.762710440835</v>
      </c>
      <c r="AF27" s="44">
        <f>IFERROR(-(IF(AND(SUM($C$23:AF23)&lt;0,AF25&lt;0),MIN(0,AF25+AF26),MIN(AF24+AF26,ABS(SUM($C$27:AE$27))))),"")</f>
        <v>14892.762710440835</v>
      </c>
      <c r="AG27" s="44">
        <f>IFERROR(-(IF(AND(SUM($C$23:AG23)&lt;0,AG25&lt;0),MIN(0,AG25+AG26),MIN(AG24+AG26,ABS(SUM($C$27:AF$27))))),"")</f>
        <v>14892.762710440835</v>
      </c>
      <c r="AH27" s="44">
        <f>IFERROR(-(IF(AND(SUM($C$23:AH23)&lt;0,AH25&lt;0),MIN(0,AH25+AH26),MIN(AH24+AH26,ABS(SUM($C$27:AG$27))))),"")</f>
        <v>14892.762710440835</v>
      </c>
      <c r="AI27" s="44">
        <f>IFERROR(-(IF(AND(SUM($C$23:AI23)&lt;0,AI25&lt;0),MIN(0,AI25+AI26),MIN(AI24+AI26,ABS(SUM($C$27:AH$27))))),"")</f>
        <v>14892.762710440835</v>
      </c>
      <c r="AJ27" s="44">
        <f>IFERROR(-(IF(AND(SUM($C$23:AJ23)&lt;0,AJ25&lt;0),MIN(0,AJ25+AJ26),MIN(AJ24+AJ26,ABS(SUM($C$27:AI$27))))),"")</f>
        <v>14892.762710440835</v>
      </c>
      <c r="AK27" s="44">
        <f>IFERROR(-(IF(AND(SUM($C$23:AK23)&lt;0,AK25&lt;0),MIN(0,AK25+AK26),MIN(AK24+AK26,ABS(SUM($C$27:AJ$27))))),"")</f>
        <v>14892.762710440835</v>
      </c>
      <c r="AL27" s="44">
        <f>IFERROR(-(IF(AND(SUM($C$23:AL23)&lt;0,AL25&lt;0),MIN(0,AL25+AL26),MIN(AL24+AL26,ABS(SUM($C$27:AK$27))))),"")</f>
        <v>14892.762710440835</v>
      </c>
      <c r="AM27" s="44">
        <f>IFERROR(-(IF(AND(SUM($C$23:AM23)&lt;0,AM25&lt;0),MIN(0,AM25+AM26),MIN(AM24+AM26,ABS(SUM($C$27:AL$27))))),"")</f>
        <v>14892.762710440835</v>
      </c>
      <c r="AN27" s="44">
        <f>IFERROR(-(IF(AND(SUM($C$23:AN23)&lt;0,AN25&lt;0),MIN(0,AN25+AN26),MIN(AN24+AN26,ABS(SUM($C$27:AM$27))))),"")</f>
        <v>14892.762710440835</v>
      </c>
      <c r="AO27" s="44">
        <f>IFERROR(-(IF(AND(SUM($C$23:AO23)&lt;0,AO25&lt;0),MIN(0,AO25+AO26),MIN(AO24+AO26,ABS(SUM($C$27:AN$27))))),"")</f>
        <v>14892.762710440835</v>
      </c>
      <c r="AP27" s="44">
        <f>IFERROR(-(IF(AND(SUM($C$23:AP23)&lt;0,AP25&lt;0),MIN(0,AP25+AP26),MIN(AP24+AP26,ABS(SUM($C$27:AO$27))))),"")</f>
        <v>14892.762710440835</v>
      </c>
      <c r="AQ27" s="44">
        <f>IFERROR(-(IF(AND(SUM($C$23:AQ23)&lt;0,AQ25&lt;0),MIN(0,AQ25+AQ26),MIN(AQ24+AQ26,ABS(SUM($C$27:AP$27))))),"")</f>
        <v>14892.762710440835</v>
      </c>
      <c r="AR27" s="44">
        <f>IFERROR(-(IF(AND(SUM($C$23:AR23)&lt;0,AR25&lt;0),MIN(0,AR25+AR26),MIN(AR24+AR26,ABS(SUM($C$27:AQ$27))))),"")</f>
        <v>14892.762710440835</v>
      </c>
      <c r="AS27" s="44">
        <f>IFERROR(-(IF(AND(SUM($C$23:AS23)&lt;0,AS25&lt;0),MIN(0,AS25+AS26),MIN(AS24+AS26,ABS(SUM($C$27:AR$27))))),"")</f>
        <v>14892.762710440835</v>
      </c>
      <c r="AT27" s="44">
        <f>IFERROR(-(IF(AND(SUM($C$23:AT23)&lt;0,AT25&lt;0),MIN(0,AT25+AT26),MIN(AT24+AT26,ABS(SUM($C$27:AS$27))))),"")</f>
        <v>14892.762710440835</v>
      </c>
      <c r="AU27" s="44">
        <f>IFERROR(-(IF(AND(SUM($C$23:AU23)&lt;0,AU25&lt;0),MIN(0,AU25+AU26),MIN(AU24+AU26,ABS(SUM($C$27:AT$27))))),"")</f>
        <v>14892.762710440835</v>
      </c>
      <c r="AV27" s="44">
        <f>IFERROR(-(IF(AND(SUM($C$23:AV23)&lt;0,AV25&lt;0),MIN(0,AV25+AV26),MIN(AV24+AV26,ABS(SUM($C$27:AU$27))))),"")</f>
        <v>14892.762710440835</v>
      </c>
      <c r="AW27" s="44">
        <f>IFERROR(-(IF(AND(SUM($C$23:AW23)&lt;0,AW25&lt;0),MIN(0,AW25+AW26),MIN(AW24+AW26,ABS(SUM($C$27:AV$27))))),"")</f>
        <v>14892.762710440835</v>
      </c>
      <c r="AX27" s="44">
        <f>IFERROR(-(IF(AND(SUM($C$23:AX23)&lt;0,AX25&lt;0),MIN(0,AX25+AX26),MIN(AX24+AX26,ABS(SUM($C$27:AW$27))))),"")</f>
        <v>14892.762710440835</v>
      </c>
      <c r="AY27" s="44">
        <f>IFERROR(-(IF(AND(SUM($C$23:AY23)&lt;0,AY25&lt;0),MIN(0,AY25+AY26),MIN(AY24+AY26,ABS(SUM($C$27:AX$27))))),"")</f>
        <v>14892.762710440835</v>
      </c>
      <c r="AZ27" s="44">
        <f>IFERROR(-(IF(AND(SUM($C$23:AZ23)&lt;0,AZ25&lt;0),MIN(0,AZ25+AZ26),MIN(AZ24+AZ26,ABS(SUM($C$27:AY$27))))),"")</f>
        <v>14892.762710440835</v>
      </c>
      <c r="BA27" s="44">
        <f>IFERROR(-(IF(AND(SUM($C$23:BA23)&lt;0,BA25&lt;0),MIN(0,BA25+BA26),MIN(BA24+BA26,ABS(SUM($C$27:AZ$27))))),"")</f>
        <v>14892.762710440835</v>
      </c>
      <c r="BB27" s="44">
        <f>IFERROR(-(IF(AND(SUM($C$23:BB23)&lt;0,BB25&lt;0),MIN(0,BB25+BB26),MIN(BB24+BB26,ABS(SUM($C$27:BA$27))))),"")</f>
        <v>14892.762710440835</v>
      </c>
      <c r="BC27" s="44">
        <f>IFERROR(-(IF(AND(SUM($C$23:BC23)&lt;0,BC25&lt;0),MIN(0,BC25+BC26),MIN(BC24+BC26,ABS(SUM($C$27:BB$27))))),"")</f>
        <v>14892.762710440835</v>
      </c>
      <c r="BD27" s="44">
        <f>IFERROR(-(IF(AND(SUM($C$23:BD23)&lt;0,BD25&lt;0),MIN(0,BD25+BD26),MIN(BD24+BD26,ABS(SUM($C$27:BC$27))))),"")</f>
        <v>14892.762710440835</v>
      </c>
      <c r="BE27" s="44">
        <f>IFERROR(-(IF(AND(SUM($C$23:BE23)&lt;0,BE25&lt;0),MIN(0,BE25+BE26),MIN(BE24+BE26,ABS(SUM($C$27:BD$27))))),"")</f>
        <v>14892.762710440835</v>
      </c>
      <c r="BF27" s="44">
        <f>IFERROR(-(IF(AND(SUM($C$23:BF23)&lt;0,BF25&lt;0),MIN(0,BF25+BF26),MIN(BF24+BF26,ABS(SUM($C$27:BE$27))))),"")</f>
        <v>14892.762710440835</v>
      </c>
      <c r="BG27" s="44">
        <f>IFERROR(-(IF(AND(SUM($C$23:BG23)&lt;0,BG25&lt;0),MIN(0,BG25+BG26),MIN(BG24+BG26,ABS(SUM($C$27:BF$27))))),"")</f>
        <v>14892.762710440835</v>
      </c>
      <c r="BH27" s="44">
        <f>IFERROR(-(IF(AND(SUM($C$23:BH23)&lt;0,BH25&lt;0),MIN(0,BH25+BH26),MIN(BH24+BH26,ABS(SUM($C$27:BG$27))))),"")</f>
        <v>14892.762710440835</v>
      </c>
      <c r="BI27" s="44">
        <f>IFERROR(-(IF(AND(SUM($C$23:BI23)&lt;0,BI25&lt;0),MIN(0,BI25+BI26),MIN(BI24+BI26,ABS(SUM($C$27:BH$27))))),"")</f>
        <v>14892.762710440835</v>
      </c>
      <c r="BJ27" s="44">
        <f>IFERROR(-(IF(AND(SUM($C$23:BJ23)&lt;0,BJ25&lt;0),MIN(0,BJ25+BJ26),MIN(BJ24+BJ26,ABS(SUM($C$27:BI$27))))),"")</f>
        <v>14892.762710440835</v>
      </c>
      <c r="BK27" s="44">
        <f>IFERROR(-(IF(AND(SUM($C$23:BK23)&lt;0,BK25&lt;0),MIN(0,BK25+BK26),MIN(BK24+BK26,ABS(SUM($C$27:BJ$27))))),"")</f>
        <v>14892.762710440835</v>
      </c>
      <c r="BL27" s="44">
        <f>IFERROR(-(IF(AND(SUM($C$23:BL23)&lt;0,BL25&lt;0),MIN(0,BL25+BL26),MIN(BL24+BL26,ABS(SUM($C$27:BK$27))))),"")</f>
        <v>14892.762710440835</v>
      </c>
      <c r="BM27" s="44">
        <f>IFERROR(-(IF(AND(SUM($C$23:BM23)&lt;0,BM25&lt;0),MIN(0,BM25+BM26),MIN(BM24+BM26,ABS(SUM($C$27:BL$27))))),"")</f>
        <v>14892.762710440835</v>
      </c>
      <c r="BN27" s="44">
        <f>IFERROR(-(IF(AND(SUM($C$23:BN23)&lt;0,BN25&lt;0),MIN(0,BN25+BN26),MIN(BN24+BN26,ABS(SUM($C$27:BM$27))))),"")</f>
        <v>14892.762710440835</v>
      </c>
      <c r="BO27" s="44">
        <f>IFERROR(-(IF(AND(SUM($C$23:BO23)&lt;0,BO25&lt;0),MIN(0,BO25+BO26),MIN(BO24+BO26,ABS(SUM($C$27:BN$27))))),"")</f>
        <v>14892.762710440835</v>
      </c>
      <c r="BP27" s="44">
        <f>IFERROR(-(IF(AND(SUM($C$23:BP23)&lt;0,BP25&lt;0),MIN(0,BP25+BP26),MIN(BP24+BP26,ABS(SUM($C$27:BO$27))))),"")</f>
        <v>14892.762710440835</v>
      </c>
      <c r="BQ27" s="44">
        <f>IFERROR(-(IF(AND(SUM($C$23:BQ23)&lt;0,BQ25&lt;0),MIN(0,BQ25+BQ26),MIN(BQ24+BQ26,ABS(SUM($C$27:BP$27))))),"")</f>
        <v>14892.762710440835</v>
      </c>
      <c r="BR27" s="44">
        <f>IFERROR(-(IF(AND(SUM($C$23:BR23)&lt;0,BR25&lt;0),MIN(0,BR25+BR26),MIN(BR24+BR26,ABS(SUM($C$27:BQ$27))))),"")</f>
        <v>14892.762710440835</v>
      </c>
      <c r="BS27" s="44">
        <f>IFERROR(-(IF(AND(SUM($C$23:BS23)&lt;0,BS25&lt;0),MIN(0,BS25+BS26),MIN(BS24+BS26,ABS(SUM($C$27:BR$27))))),"")</f>
        <v>14892.762710440835</v>
      </c>
      <c r="BT27" s="44">
        <f>IFERROR(-(IF(AND(SUM($C$23:BT23)&lt;0,BT25&lt;0),MIN(0,BT25+BT26),MIN(BT24+BT26,ABS(SUM($C$27:BS$27))))),"")</f>
        <v>14892.762710440835</v>
      </c>
      <c r="BU27" s="44">
        <f>IFERROR(-(IF(AND(SUM($C$23:BU23)&lt;0,BU25&lt;0),MIN(0,BU25+BU26),MIN(BU24+BU26,ABS(SUM($C$27:BT$27))))),"")</f>
        <v>14892.762710440835</v>
      </c>
      <c r="BV27" s="44">
        <f>IFERROR(-(IF(AND(SUM($C$23:BV23)&lt;0,BV25&lt;0),MIN(0,BV25+BV26),MIN(BV24+BV26,ABS(SUM($C$27:BU$27))))),"")</f>
        <v>14892.762710440835</v>
      </c>
      <c r="BW27" s="44">
        <f>IFERROR(-(IF(AND(SUM($C$23:BW23)&lt;0,BW25&lt;0),MIN(0,BW25+BW26),MIN(BW24+BW26,ABS(SUM($C$27:BV$27))))),"")</f>
        <v>14892.762710440835</v>
      </c>
      <c r="BX27" s="44">
        <f>IFERROR(-(IF(AND(SUM($C$23:BX23)&lt;0,BX25&lt;0),MIN(0,BX25+BX26),MIN(BX24+BX26,ABS(SUM($C$27:BW$27))))),"")</f>
        <v>14892.762710440835</v>
      </c>
      <c r="BY27" s="44">
        <f>IFERROR(-(IF(AND(SUM($C$23:BY23)&lt;0,BY25&lt;0),MIN(0,BY25+BY26),MIN(BY24+BY26,ABS(SUM($C$27:BX$27))))),"")</f>
        <v>14892.762710440835</v>
      </c>
      <c r="BZ27" s="44">
        <f>IFERROR(-(IF(AND(SUM($C$23:BZ23)&lt;0,BZ25&lt;0),MIN(0,BZ25+BZ26),MIN(BZ24+BZ26,ABS(SUM($C$27:BY$27))))),"")</f>
        <v>14892.762710440835</v>
      </c>
      <c r="CA27" s="44">
        <f>IFERROR(-(IF(AND(SUM($C$23:CA23)&lt;0,CA25&lt;0),MIN(0,CA25+CA26),MIN(CA24+CA26,ABS(SUM($C$27:BZ$27))))),"")</f>
        <v>14892.762710440835</v>
      </c>
      <c r="CB27" s="44">
        <f>IFERROR(-(IF(AND(SUM($C$23:CB23)&lt;0,CB25&lt;0),MIN(0,CB25+CB26),MIN(CB24+CB26,ABS(SUM($C$27:CA$27))))),"")</f>
        <v>14892.762710440835</v>
      </c>
      <c r="CC27" s="44">
        <f>IFERROR(-(IF(AND(SUM($C$23:CC23)&lt;0,CC25&lt;0),MIN(0,CC25+CC26),MIN(CC24+CC26,ABS(SUM($C$27:CB$27))))),"")</f>
        <v>14892.762710440835</v>
      </c>
      <c r="CD27" s="44">
        <f>IFERROR(-(IF(AND(SUM($C$23:CD23)&lt;0,CD25&lt;0),MIN(0,CD25+CD26),MIN(CD24+CD26,ABS(SUM($C$27:CC$27))))),"")</f>
        <v>14892.762710440835</v>
      </c>
      <c r="CE27" s="44">
        <f>IFERROR(-(IF(AND(SUM($C$23:CE23)&lt;0,CE25&lt;0),MIN(0,CE25+CE26),MIN(CE24+CE26,ABS(SUM($C$27:CD$27))))),"")</f>
        <v>14892.762710440835</v>
      </c>
      <c r="CF27" s="44">
        <f>IFERROR(-(IF(AND(SUM($C$23:CF23)&lt;0,CF25&lt;0),MIN(0,CF25+CF26),MIN(CF24+CF26,ABS(SUM($C$27:CE$27))))),"")</f>
        <v>14892.762710440835</v>
      </c>
      <c r="CG27" s="44">
        <f>IFERROR(-(IF(AND(SUM($C$23:CG23)&lt;0,CG25&lt;0),MIN(0,CG25+CG26),MIN(CG24+CG26,ABS(SUM($C$27:CF$27))))),"")</f>
        <v>14892.762710440835</v>
      </c>
      <c r="CH27" s="44">
        <f>IFERROR(-(IF(AND(SUM($C$23:CH23)&lt;0,CH25&lt;0),MIN(0,CH25+CH26),MIN(CH24+CH26,ABS(SUM($C$27:CG$27))))),"")</f>
        <v>14892.762710440835</v>
      </c>
      <c r="CI27" s="44">
        <f>IFERROR(-(IF(AND(SUM($C$23:CI23)&lt;0,CI25&lt;0),MIN(0,CI25+CI26),MIN(CI24+CI26,ABS(SUM($C$27:CH$27))))),"")</f>
        <v>14892.762710440835</v>
      </c>
      <c r="CJ27" s="44">
        <f>IFERROR(-(IF(AND(SUM($C$23:CJ23)&lt;0,CJ25&lt;0),MIN(0,CJ25+CJ26),MIN(CJ24+CJ26,ABS(SUM($C$27:CI$27))))),"")</f>
        <v>14892.762710440835</v>
      </c>
      <c r="CK27" s="44">
        <f>IFERROR(-(IF(AND(SUM($C$23:CK23)&lt;0,CK25&lt;0),MIN(0,CK25+CK26),MIN(CK24+CK26,ABS(SUM($C$27:CJ$27))))),"")</f>
        <v>14892.762710440835</v>
      </c>
      <c r="CL27" s="44">
        <f>IFERROR(-(IF(AND(SUM($C$23:CL23)&lt;0,CL25&lt;0),MIN(0,CL25+CL26),MIN(CL24+CL26,ABS(SUM($C$27:CK$27))))),"")</f>
        <v>14892.762710440835</v>
      </c>
      <c r="CM27" s="44">
        <f>IFERROR(-(IF(AND(SUM($C$23:CM23)&lt;0,CM25&lt;0),MIN(0,CM25+CM26),MIN(CM24+CM26,ABS(SUM($C$27:CL$27))))),"")</f>
        <v>14892.762710440835</v>
      </c>
      <c r="CN27" s="44">
        <f>IFERROR(-(IF(AND(SUM($C$23:CN23)&lt;0,CN25&lt;0),MIN(0,CN25+CN26),MIN(CN24+CN26,ABS(SUM($C$27:CM$27))))),"")</f>
        <v>14892.762710440835</v>
      </c>
      <c r="CO27" s="44">
        <f>IFERROR(-(IF(AND(SUM($C$23:CO23)&lt;0,CO25&lt;0),MIN(0,CO25+CO26),MIN(CO24+CO26,ABS(SUM($C$27:CN$27))))),"")</f>
        <v>14892.762710440835</v>
      </c>
      <c r="CP27" s="44">
        <f>IFERROR(-(IF(AND(SUM($C$23:CP23)&lt;0,CP25&lt;0),MIN(0,CP25+CP26),MIN(CP24+CP26,ABS(SUM($C$27:CO$27))))),"")</f>
        <v>14892.762710440835</v>
      </c>
      <c r="CQ27" s="44">
        <f>IFERROR(-(IF(AND(SUM($C$23:CQ23)&lt;0,CQ25&lt;0),MIN(0,CQ25+CQ26),MIN(CQ24+CQ26,ABS(SUM($C$27:CP$27))))),"")</f>
        <v>14892.762710440835</v>
      </c>
      <c r="CR27" s="44">
        <f>IFERROR(-(IF(AND(SUM($C$23:CR23)&lt;0,CR25&lt;0),MIN(0,CR25+CR26),MIN(CR24+CR26,ABS(SUM($C$27:CQ$27))))),"")</f>
        <v>14892.762710440835</v>
      </c>
      <c r="CS27" s="44">
        <f>IFERROR(-(IF(AND(SUM($C$23:CS23)&lt;0,CS25&lt;0),MIN(0,CS25+CS26),MIN(CS24+CS26,ABS(SUM($C$27:CR$27))))),"")</f>
        <v>14892.762710440835</v>
      </c>
      <c r="CT27" s="44">
        <f>IFERROR(-(IF(AND(SUM($C$23:CT23)&lt;0,CT25&lt;0),MIN(0,CT25+CT26),MIN(CT24+CT26,ABS(SUM($C$27:CS$27))))),"")</f>
        <v>14892.762710440835</v>
      </c>
      <c r="CU27" s="44">
        <f>IFERROR(-(IF(AND(SUM($C$23:CU23)&lt;0,CU25&lt;0),MIN(0,CU25+CU26),MIN(CU24+CU26,ABS(SUM($C$27:CT$27))))),"")</f>
        <v>14892.762710440835</v>
      </c>
      <c r="CV27" s="44">
        <f>IFERROR(-(IF(AND(SUM($C$23:CV23)&lt;0,CV25&lt;0),MIN(0,CV25+CV26),MIN(CV24+CV26,ABS(SUM($C$27:CU$27))))),"")</f>
        <v>14892.762710440835</v>
      </c>
      <c r="CW27" s="44">
        <f>IFERROR(-(IF(AND(SUM($C$23:CW23)&lt;0,CW25&lt;0),MIN(0,CW25+CW26),MIN(CW24+CW26,ABS(SUM($C$27:CV$27))))),"")</f>
        <v>14892.762710440835</v>
      </c>
      <c r="CX27" s="44">
        <f>IFERROR(-(IF(AND(SUM($C$23:CX23)&lt;0,CX25&lt;0),MIN(0,CX25+CX26),MIN(CX24+CX26,ABS(SUM($C$27:CW$27))))),"")</f>
        <v>14892.762710440835</v>
      </c>
      <c r="CY27" s="44">
        <f>IFERROR(-(IF(AND(SUM($C$23:CY23)&lt;0,CY25&lt;0),MIN(0,CY25+CY26),MIN(CY24+CY26,ABS(SUM($C$27:CX$27))))),"")</f>
        <v>14892.762710440835</v>
      </c>
      <c r="CZ27" s="211" t="s">
        <v>69</v>
      </c>
      <c r="DA27" s="32">
        <v>5.4</v>
      </c>
      <c r="DB27" s="184" t="s">
        <v>70</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3">
      <c r="A28" s="23" t="s">
        <v>71</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72</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3">
      <c r="A29" s="23" t="s">
        <v>73</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72</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3">
      <c r="A30" s="23" t="s">
        <v>74</v>
      </c>
      <c r="B30" s="50"/>
      <c r="C30" s="233">
        <v>28596.95</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75</v>
      </c>
      <c r="DA30" s="32" t="s">
        <v>76</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3">
      <c r="A31" s="39" t="s">
        <v>77</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78</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3">
      <c r="A32" s="23" t="s">
        <v>79</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75</v>
      </c>
      <c r="DA32" s="32" t="s">
        <v>76</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3">
      <c r="A33" s="39" t="s">
        <v>80</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3">
      <c r="A34" s="23" t="s">
        <v>81</v>
      </c>
      <c r="B34" s="50"/>
      <c r="C34" s="55">
        <v>0</v>
      </c>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82</v>
      </c>
      <c r="DA34" s="32" t="s">
        <v>83</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45">
      <c r="A35" s="39" t="s">
        <v>84</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85</v>
      </c>
      <c r="DA35" s="32">
        <v>5.3</v>
      </c>
      <c r="DB35" s="56" t="s">
        <v>86</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45">
      <c r="A36" s="59" t="s">
        <v>87</v>
      </c>
      <c r="B36" s="57"/>
      <c r="C36" s="58">
        <f>-(C27+C31+C33+C35)</f>
        <v>0</v>
      </c>
      <c r="D36" s="58">
        <f t="shared" ref="D36:AI36" si="28">-(D27+D31+D35)</f>
        <v>0</v>
      </c>
      <c r="E36" s="58">
        <f t="shared" si="28"/>
        <v>-12322.134488027506</v>
      </c>
      <c r="F36" s="58">
        <f t="shared" si="28"/>
        <v>-14892.762710440835</v>
      </c>
      <c r="G36" s="58">
        <f t="shared" si="28"/>
        <v>-14892.762710440835</v>
      </c>
      <c r="H36" s="58">
        <f t="shared" si="28"/>
        <v>-14892.762710440835</v>
      </c>
      <c r="I36" s="58">
        <f t="shared" si="28"/>
        <v>-14892.762710440835</v>
      </c>
      <c r="J36" s="58">
        <f t="shared" si="28"/>
        <v>-14892.762710440835</v>
      </c>
      <c r="K36" s="58">
        <f t="shared" si="28"/>
        <v>-14892.762710440835</v>
      </c>
      <c r="L36" s="58">
        <f t="shared" si="28"/>
        <v>-14892.762710440835</v>
      </c>
      <c r="M36" s="58">
        <f t="shared" si="28"/>
        <v>-14892.762710440835</v>
      </c>
      <c r="N36" s="58">
        <f t="shared" si="28"/>
        <v>-14892.762710440835</v>
      </c>
      <c r="O36" s="58">
        <f t="shared" si="28"/>
        <v>-14892.762710440835</v>
      </c>
      <c r="P36" s="58">
        <f t="shared" si="28"/>
        <v>-14892.762710440835</v>
      </c>
      <c r="Q36" s="58">
        <f t="shared" si="28"/>
        <v>-14892.762710440835</v>
      </c>
      <c r="R36" s="58">
        <f t="shared" si="28"/>
        <v>-14892.762710440835</v>
      </c>
      <c r="S36" s="58">
        <f t="shared" si="28"/>
        <v>-14892.762710440835</v>
      </c>
      <c r="T36" s="58">
        <f t="shared" si="28"/>
        <v>-14892.762710440835</v>
      </c>
      <c r="U36" s="58">
        <f t="shared" si="28"/>
        <v>-14892.762710440835</v>
      </c>
      <c r="V36" s="58">
        <f t="shared" si="28"/>
        <v>-14892.762710440835</v>
      </c>
      <c r="W36" s="58">
        <f t="shared" si="28"/>
        <v>-14892.762710440835</v>
      </c>
      <c r="X36" s="58">
        <f t="shared" si="28"/>
        <v>-14892.762710440835</v>
      </c>
      <c r="Y36" s="58">
        <f t="shared" si="28"/>
        <v>-14892.762710440835</v>
      </c>
      <c r="Z36" s="58">
        <f t="shared" si="28"/>
        <v>-14892.762710440835</v>
      </c>
      <c r="AA36" s="58">
        <f t="shared" si="28"/>
        <v>-14892.762710440835</v>
      </c>
      <c r="AB36" s="58">
        <f t="shared" si="28"/>
        <v>-14892.762710440835</v>
      </c>
      <c r="AC36" s="58">
        <f t="shared" si="28"/>
        <v>-14892.762710440835</v>
      </c>
      <c r="AD36" s="58">
        <f t="shared" si="28"/>
        <v>-14892.762710440835</v>
      </c>
      <c r="AE36" s="58">
        <f t="shared" si="28"/>
        <v>-14892.762710440835</v>
      </c>
      <c r="AF36" s="58">
        <f t="shared" si="28"/>
        <v>-14892.762710440835</v>
      </c>
      <c r="AG36" s="58">
        <f t="shared" si="28"/>
        <v>-14892.762710440835</v>
      </c>
      <c r="AH36" s="58">
        <f t="shared" si="28"/>
        <v>-14892.762710440835</v>
      </c>
      <c r="AI36" s="58">
        <f t="shared" si="28"/>
        <v>-14892.762710440835</v>
      </c>
      <c r="AJ36" s="58">
        <f t="shared" ref="AJ36:BO36" si="29">-(AJ27+AJ31+AJ35)</f>
        <v>-14892.762710440835</v>
      </c>
      <c r="AK36" s="58">
        <f t="shared" si="29"/>
        <v>-14892.762710440835</v>
      </c>
      <c r="AL36" s="58">
        <f t="shared" si="29"/>
        <v>-14892.762710440835</v>
      </c>
      <c r="AM36" s="58">
        <f t="shared" si="29"/>
        <v>-14892.762710440835</v>
      </c>
      <c r="AN36" s="58">
        <f t="shared" si="29"/>
        <v>-14892.762710440835</v>
      </c>
      <c r="AO36" s="58">
        <f t="shared" si="29"/>
        <v>-14892.762710440835</v>
      </c>
      <c r="AP36" s="58">
        <f t="shared" si="29"/>
        <v>-14892.762710440835</v>
      </c>
      <c r="AQ36" s="58">
        <f t="shared" si="29"/>
        <v>-14892.762710440835</v>
      </c>
      <c r="AR36" s="58">
        <f t="shared" si="29"/>
        <v>-14892.762710440835</v>
      </c>
      <c r="AS36" s="58">
        <f t="shared" si="29"/>
        <v>-14892.762710440835</v>
      </c>
      <c r="AT36" s="58">
        <f t="shared" si="29"/>
        <v>-14892.762710440835</v>
      </c>
      <c r="AU36" s="58">
        <f t="shared" si="29"/>
        <v>-14892.762710440835</v>
      </c>
      <c r="AV36" s="58">
        <f t="shared" si="29"/>
        <v>-14892.762710440835</v>
      </c>
      <c r="AW36" s="58">
        <f t="shared" si="29"/>
        <v>-14892.762710440835</v>
      </c>
      <c r="AX36" s="58">
        <f t="shared" si="29"/>
        <v>-14892.762710440835</v>
      </c>
      <c r="AY36" s="58">
        <f t="shared" si="29"/>
        <v>-14892.762710440835</v>
      </c>
      <c r="AZ36" s="58">
        <f t="shared" si="29"/>
        <v>-14892.762710440835</v>
      </c>
      <c r="BA36" s="58">
        <f t="shared" si="29"/>
        <v>-14892.762710440835</v>
      </c>
      <c r="BB36" s="58">
        <f t="shared" si="29"/>
        <v>-14892.762710440835</v>
      </c>
      <c r="BC36" s="58">
        <f t="shared" si="29"/>
        <v>-14892.762710440835</v>
      </c>
      <c r="BD36" s="58">
        <f t="shared" si="29"/>
        <v>-14892.762710440835</v>
      </c>
      <c r="BE36" s="58">
        <f t="shared" si="29"/>
        <v>-14892.762710440835</v>
      </c>
      <c r="BF36" s="58">
        <f t="shared" si="29"/>
        <v>-14892.762710440835</v>
      </c>
      <c r="BG36" s="58">
        <f t="shared" si="29"/>
        <v>-14892.762710440835</v>
      </c>
      <c r="BH36" s="58">
        <f t="shared" si="29"/>
        <v>-14892.762710440835</v>
      </c>
      <c r="BI36" s="58">
        <f t="shared" si="29"/>
        <v>-14892.762710440835</v>
      </c>
      <c r="BJ36" s="58">
        <f t="shared" si="29"/>
        <v>-14892.762710440835</v>
      </c>
      <c r="BK36" s="58">
        <f t="shared" si="29"/>
        <v>-14892.762710440835</v>
      </c>
      <c r="BL36" s="58">
        <f t="shared" si="29"/>
        <v>-14892.762710440835</v>
      </c>
      <c r="BM36" s="58">
        <f t="shared" si="29"/>
        <v>-14892.762710440835</v>
      </c>
      <c r="BN36" s="58">
        <f t="shared" si="29"/>
        <v>-14892.762710440835</v>
      </c>
      <c r="BO36" s="58">
        <f t="shared" si="29"/>
        <v>-14892.762710440835</v>
      </c>
      <c r="BP36" s="58">
        <f t="shared" ref="BP36:CU36" si="30">-(BP27+BP31+BP35)</f>
        <v>-14892.762710440835</v>
      </c>
      <c r="BQ36" s="58">
        <f t="shared" si="30"/>
        <v>-14892.762710440835</v>
      </c>
      <c r="BR36" s="58">
        <f t="shared" si="30"/>
        <v>-14892.762710440835</v>
      </c>
      <c r="BS36" s="58">
        <f t="shared" si="30"/>
        <v>-14892.762710440835</v>
      </c>
      <c r="BT36" s="58">
        <f t="shared" si="30"/>
        <v>-14892.762710440835</v>
      </c>
      <c r="BU36" s="58">
        <f t="shared" si="30"/>
        <v>-14892.762710440835</v>
      </c>
      <c r="BV36" s="58">
        <f t="shared" si="30"/>
        <v>-14892.762710440835</v>
      </c>
      <c r="BW36" s="58">
        <f t="shared" si="30"/>
        <v>-14892.762710440835</v>
      </c>
      <c r="BX36" s="58">
        <f t="shared" si="30"/>
        <v>-14892.762710440835</v>
      </c>
      <c r="BY36" s="58">
        <f t="shared" si="30"/>
        <v>-14892.762710440835</v>
      </c>
      <c r="BZ36" s="58">
        <f t="shared" si="30"/>
        <v>-14892.762710440835</v>
      </c>
      <c r="CA36" s="58">
        <f t="shared" si="30"/>
        <v>-14892.762710440835</v>
      </c>
      <c r="CB36" s="58">
        <f t="shared" si="30"/>
        <v>-14892.762710440835</v>
      </c>
      <c r="CC36" s="58">
        <f t="shared" si="30"/>
        <v>-14892.762710440835</v>
      </c>
      <c r="CD36" s="58">
        <f t="shared" si="30"/>
        <v>-14892.762710440835</v>
      </c>
      <c r="CE36" s="58">
        <f t="shared" si="30"/>
        <v>-14892.762710440835</v>
      </c>
      <c r="CF36" s="58">
        <f t="shared" si="30"/>
        <v>-14892.762710440835</v>
      </c>
      <c r="CG36" s="58">
        <f t="shared" si="30"/>
        <v>-14892.762710440835</v>
      </c>
      <c r="CH36" s="58">
        <f t="shared" si="30"/>
        <v>-14892.762710440835</v>
      </c>
      <c r="CI36" s="58">
        <f t="shared" si="30"/>
        <v>-14892.762710440835</v>
      </c>
      <c r="CJ36" s="58">
        <f t="shared" si="30"/>
        <v>-14892.762710440835</v>
      </c>
      <c r="CK36" s="58">
        <f t="shared" si="30"/>
        <v>-14892.762710440835</v>
      </c>
      <c r="CL36" s="58">
        <f t="shared" si="30"/>
        <v>-14892.762710440835</v>
      </c>
      <c r="CM36" s="58">
        <f t="shared" si="30"/>
        <v>-14892.762710440835</v>
      </c>
      <c r="CN36" s="58">
        <f t="shared" si="30"/>
        <v>-14892.762710440835</v>
      </c>
      <c r="CO36" s="58">
        <f t="shared" si="30"/>
        <v>-14892.762710440835</v>
      </c>
      <c r="CP36" s="58">
        <f t="shared" si="30"/>
        <v>-14892.762710440835</v>
      </c>
      <c r="CQ36" s="58">
        <f t="shared" si="30"/>
        <v>-14892.762710440835</v>
      </c>
      <c r="CR36" s="58">
        <f t="shared" si="30"/>
        <v>-14892.762710440835</v>
      </c>
      <c r="CS36" s="58">
        <f t="shared" si="30"/>
        <v>-14892.762710440835</v>
      </c>
      <c r="CT36" s="58">
        <f t="shared" si="30"/>
        <v>-14892.762710440835</v>
      </c>
      <c r="CU36" s="58">
        <f t="shared" si="30"/>
        <v>-14892.762710440835</v>
      </c>
      <c r="CV36" s="58">
        <f t="shared" ref="CV36:CY36" si="31">-(CV27+CV31+CV35)</f>
        <v>-14892.762710440835</v>
      </c>
      <c r="CW36" s="58">
        <f t="shared" si="31"/>
        <v>-14892.762710440835</v>
      </c>
      <c r="CX36" s="58">
        <f t="shared" si="31"/>
        <v>-14892.762710440835</v>
      </c>
      <c r="CY36" s="58">
        <f t="shared" si="31"/>
        <v>-14892.762710440835</v>
      </c>
      <c r="CZ36" s="67" t="s">
        <v>88</v>
      </c>
      <c r="DA36" s="32">
        <v>5.0999999999999996</v>
      </c>
      <c r="DB36" s="56" t="s">
        <v>89</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35">
      <c r="A37" s="205" t="s">
        <v>90</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35">
      <c r="A38" s="39" t="s">
        <v>91</v>
      </c>
      <c r="B38" s="65"/>
      <c r="C38" s="58">
        <f t="shared" ref="C38:AH38" si="32">C19+C36</f>
        <v>294484</v>
      </c>
      <c r="D38" s="58">
        <f t="shared" si="32"/>
        <v>404162</v>
      </c>
      <c r="E38" s="58">
        <f>E19+E36</f>
        <v>-12322.134488027506</v>
      </c>
      <c r="F38" s="58">
        <f t="shared" si="32"/>
        <v>-14892.762710440835</v>
      </c>
      <c r="G38" s="58">
        <f t="shared" si="32"/>
        <v>-14892.762710440835</v>
      </c>
      <c r="H38" s="58">
        <f t="shared" si="32"/>
        <v>-14892.762710440835</v>
      </c>
      <c r="I38" s="58">
        <f t="shared" si="32"/>
        <v>-14892.762710440835</v>
      </c>
      <c r="J38" s="58">
        <f t="shared" si="32"/>
        <v>-14892.762710440835</v>
      </c>
      <c r="K38" s="58">
        <f t="shared" si="32"/>
        <v>-14892.762710440835</v>
      </c>
      <c r="L38" s="58">
        <f t="shared" si="32"/>
        <v>-14892.762710440835</v>
      </c>
      <c r="M38" s="58">
        <f t="shared" si="32"/>
        <v>-14892.762710440835</v>
      </c>
      <c r="N38" s="58">
        <f t="shared" si="32"/>
        <v>-14892.762710440835</v>
      </c>
      <c r="O38" s="58">
        <f t="shared" si="32"/>
        <v>-14892.762710440835</v>
      </c>
      <c r="P38" s="58">
        <f t="shared" si="32"/>
        <v>-14892.762710440835</v>
      </c>
      <c r="Q38" s="58">
        <f t="shared" si="32"/>
        <v>-14892.762710440835</v>
      </c>
      <c r="R38" s="58">
        <f t="shared" si="32"/>
        <v>-14892.762710440835</v>
      </c>
      <c r="S38" s="58">
        <f t="shared" si="32"/>
        <v>-14892.762710440835</v>
      </c>
      <c r="T38" s="58">
        <f t="shared" si="32"/>
        <v>-14892.762710440835</v>
      </c>
      <c r="U38" s="58">
        <f t="shared" si="32"/>
        <v>-14892.762710440835</v>
      </c>
      <c r="V38" s="58">
        <f t="shared" si="32"/>
        <v>-14892.762710440835</v>
      </c>
      <c r="W38" s="58">
        <f t="shared" si="32"/>
        <v>-14892.762710440835</v>
      </c>
      <c r="X38" s="58">
        <f t="shared" si="32"/>
        <v>-14892.762710440835</v>
      </c>
      <c r="Y38" s="58">
        <f t="shared" si="32"/>
        <v>-14892.762710440835</v>
      </c>
      <c r="Z38" s="58">
        <f t="shared" si="32"/>
        <v>-14892.762710440835</v>
      </c>
      <c r="AA38" s="58">
        <f t="shared" si="32"/>
        <v>-14892.762710440835</v>
      </c>
      <c r="AB38" s="58">
        <f t="shared" si="32"/>
        <v>-14892.762710440835</v>
      </c>
      <c r="AC38" s="58">
        <f t="shared" si="32"/>
        <v>-14892.762710440835</v>
      </c>
      <c r="AD38" s="58">
        <f t="shared" si="32"/>
        <v>-14892.762710440835</v>
      </c>
      <c r="AE38" s="58">
        <f t="shared" si="32"/>
        <v>-14892.762710440835</v>
      </c>
      <c r="AF38" s="58">
        <f t="shared" si="32"/>
        <v>-14892.762710440835</v>
      </c>
      <c r="AG38" s="58">
        <f t="shared" si="32"/>
        <v>-14892.762710440835</v>
      </c>
      <c r="AH38" s="58">
        <f t="shared" si="32"/>
        <v>-14892.762710440835</v>
      </c>
      <c r="AI38" s="58">
        <f t="shared" ref="AI38:BN38" si="33">AI19+AI36</f>
        <v>-14892.762710440835</v>
      </c>
      <c r="AJ38" s="58">
        <f t="shared" si="33"/>
        <v>-14892.762710440835</v>
      </c>
      <c r="AK38" s="58">
        <f t="shared" si="33"/>
        <v>-14892.762710440835</v>
      </c>
      <c r="AL38" s="58">
        <f t="shared" si="33"/>
        <v>-14892.762710440835</v>
      </c>
      <c r="AM38" s="58">
        <f t="shared" si="33"/>
        <v>-14892.762710440835</v>
      </c>
      <c r="AN38" s="58">
        <f t="shared" si="33"/>
        <v>-14892.762710440835</v>
      </c>
      <c r="AO38" s="58">
        <f t="shared" si="33"/>
        <v>-14892.762710440835</v>
      </c>
      <c r="AP38" s="58">
        <f t="shared" si="33"/>
        <v>-14892.762710440835</v>
      </c>
      <c r="AQ38" s="58">
        <f t="shared" si="33"/>
        <v>-14892.762710440835</v>
      </c>
      <c r="AR38" s="58">
        <f t="shared" si="33"/>
        <v>-14892.762710440835</v>
      </c>
      <c r="AS38" s="58">
        <f t="shared" si="33"/>
        <v>-14892.762710440835</v>
      </c>
      <c r="AT38" s="58">
        <f t="shared" si="33"/>
        <v>-14892.762710440835</v>
      </c>
      <c r="AU38" s="58">
        <f t="shared" si="33"/>
        <v>-14892.762710440835</v>
      </c>
      <c r="AV38" s="58">
        <f t="shared" si="33"/>
        <v>-14892.762710440835</v>
      </c>
      <c r="AW38" s="58">
        <f t="shared" si="33"/>
        <v>-14892.762710440835</v>
      </c>
      <c r="AX38" s="58">
        <f t="shared" si="33"/>
        <v>-14892.762710440835</v>
      </c>
      <c r="AY38" s="58">
        <f t="shared" si="33"/>
        <v>-14892.762710440835</v>
      </c>
      <c r="AZ38" s="58">
        <f t="shared" si="33"/>
        <v>-14892.762710440835</v>
      </c>
      <c r="BA38" s="58">
        <f t="shared" si="33"/>
        <v>-14892.762710440835</v>
      </c>
      <c r="BB38" s="58">
        <f t="shared" si="33"/>
        <v>-14892.762710440835</v>
      </c>
      <c r="BC38" s="58">
        <f t="shared" si="33"/>
        <v>-14892.762710440835</v>
      </c>
      <c r="BD38" s="58">
        <f t="shared" si="33"/>
        <v>-14892.762710440835</v>
      </c>
      <c r="BE38" s="58">
        <f t="shared" si="33"/>
        <v>-14892.762710440835</v>
      </c>
      <c r="BF38" s="58">
        <f t="shared" si="33"/>
        <v>-14892.762710440835</v>
      </c>
      <c r="BG38" s="58">
        <f t="shared" si="33"/>
        <v>-14892.762710440835</v>
      </c>
      <c r="BH38" s="58">
        <f t="shared" si="33"/>
        <v>-14892.762710440835</v>
      </c>
      <c r="BI38" s="58">
        <f t="shared" si="33"/>
        <v>-14892.762710440835</v>
      </c>
      <c r="BJ38" s="58">
        <f t="shared" si="33"/>
        <v>-14892.762710440835</v>
      </c>
      <c r="BK38" s="58">
        <f t="shared" si="33"/>
        <v>-14892.762710440835</v>
      </c>
      <c r="BL38" s="58">
        <f t="shared" si="33"/>
        <v>-14892.762710440835</v>
      </c>
      <c r="BM38" s="58">
        <f t="shared" si="33"/>
        <v>-14892.762710440835</v>
      </c>
      <c r="BN38" s="58">
        <f t="shared" si="33"/>
        <v>-14892.762710440835</v>
      </c>
      <c r="BO38" s="58">
        <f t="shared" ref="BO38:CY38" si="34">BO19+BO36</f>
        <v>-14892.762710440835</v>
      </c>
      <c r="BP38" s="58">
        <f t="shared" si="34"/>
        <v>-14892.762710440835</v>
      </c>
      <c r="BQ38" s="58">
        <f t="shared" si="34"/>
        <v>-14892.762710440835</v>
      </c>
      <c r="BR38" s="58">
        <f t="shared" si="34"/>
        <v>-14892.762710440835</v>
      </c>
      <c r="BS38" s="58">
        <f t="shared" si="34"/>
        <v>-14892.762710440835</v>
      </c>
      <c r="BT38" s="58">
        <f t="shared" si="34"/>
        <v>-14892.762710440835</v>
      </c>
      <c r="BU38" s="58">
        <f t="shared" si="34"/>
        <v>-14892.762710440835</v>
      </c>
      <c r="BV38" s="58">
        <f t="shared" si="34"/>
        <v>-14892.762710440835</v>
      </c>
      <c r="BW38" s="58">
        <f t="shared" si="34"/>
        <v>-14892.762710440835</v>
      </c>
      <c r="BX38" s="58">
        <f t="shared" si="34"/>
        <v>-14892.762710440835</v>
      </c>
      <c r="BY38" s="58">
        <f t="shared" si="34"/>
        <v>-14892.762710440835</v>
      </c>
      <c r="BZ38" s="58">
        <f t="shared" si="34"/>
        <v>-14892.762710440835</v>
      </c>
      <c r="CA38" s="58">
        <f t="shared" si="34"/>
        <v>-14892.762710440835</v>
      </c>
      <c r="CB38" s="58">
        <f t="shared" si="34"/>
        <v>-14892.762710440835</v>
      </c>
      <c r="CC38" s="58">
        <f t="shared" si="34"/>
        <v>-14892.762710440835</v>
      </c>
      <c r="CD38" s="58">
        <f t="shared" si="34"/>
        <v>-14892.762710440835</v>
      </c>
      <c r="CE38" s="58">
        <f t="shared" si="34"/>
        <v>-14892.762710440835</v>
      </c>
      <c r="CF38" s="58">
        <f t="shared" si="34"/>
        <v>-14892.762710440835</v>
      </c>
      <c r="CG38" s="58">
        <f t="shared" si="34"/>
        <v>-14892.762710440835</v>
      </c>
      <c r="CH38" s="58">
        <f t="shared" si="34"/>
        <v>-14892.762710440835</v>
      </c>
      <c r="CI38" s="58">
        <f t="shared" si="34"/>
        <v>-14892.762710440835</v>
      </c>
      <c r="CJ38" s="58">
        <f t="shared" si="34"/>
        <v>-14892.762710440835</v>
      </c>
      <c r="CK38" s="58">
        <f t="shared" si="34"/>
        <v>-14892.762710440835</v>
      </c>
      <c r="CL38" s="58">
        <f t="shared" si="34"/>
        <v>-14892.762710440835</v>
      </c>
      <c r="CM38" s="58">
        <f t="shared" si="34"/>
        <v>-14892.762710440835</v>
      </c>
      <c r="CN38" s="58">
        <f t="shared" si="34"/>
        <v>-14892.762710440835</v>
      </c>
      <c r="CO38" s="58">
        <f t="shared" si="34"/>
        <v>-14892.762710440835</v>
      </c>
      <c r="CP38" s="58">
        <f t="shared" si="34"/>
        <v>-14892.762710440835</v>
      </c>
      <c r="CQ38" s="58">
        <f t="shared" si="34"/>
        <v>-14892.762710440835</v>
      </c>
      <c r="CR38" s="58">
        <f t="shared" si="34"/>
        <v>-14892.762710440835</v>
      </c>
      <c r="CS38" s="58">
        <f t="shared" si="34"/>
        <v>-14892.762710440835</v>
      </c>
      <c r="CT38" s="58">
        <f t="shared" si="34"/>
        <v>-14892.762710440835</v>
      </c>
      <c r="CU38" s="58">
        <f t="shared" si="34"/>
        <v>-14892.762710440835</v>
      </c>
      <c r="CV38" s="58">
        <f t="shared" si="34"/>
        <v>-14892.762710440835</v>
      </c>
      <c r="CW38" s="58">
        <f t="shared" si="34"/>
        <v>-14892.762710440835</v>
      </c>
      <c r="CX38" s="58">
        <f t="shared" si="34"/>
        <v>-14892.762710440835</v>
      </c>
      <c r="CY38" s="58">
        <f t="shared" si="34"/>
        <v>-14892.762710440835</v>
      </c>
      <c r="CZ38" s="67" t="s">
        <v>92</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3">
      <c r="A39" s="39" t="s">
        <v>93</v>
      </c>
      <c r="B39" s="68"/>
      <c r="C39" s="44">
        <f>-(IF(SUM($C$38:C38)&gt;0,(IF(C38&lt;0,C38,0)),0))</f>
        <v>0</v>
      </c>
      <c r="D39" s="44">
        <f>-(IF(SUM($C$38:D38)&gt;0,(IF(D38&lt;=0,(D13-C13),0)),0))</f>
        <v>0</v>
      </c>
      <c r="E39" s="44">
        <f>-(IF(SUM($C$38:E38)&gt;0,(IF(E38&lt;=0,(E13-D13),0)),0))</f>
        <v>8762869</v>
      </c>
      <c r="F39" s="44">
        <f>-(IF(SUM($C$38:F38)&gt;0,(IF(F38&lt;=0,(F13-E13),0)),0))</f>
        <v>0</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94</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35">
      <c r="A40" s="205" t="s">
        <v>95</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45">
      <c r="A41" s="39" t="s">
        <v>96</v>
      </c>
      <c r="B41" s="43"/>
      <c r="C41" s="44">
        <f>MAX(C38,0)</f>
        <v>294484</v>
      </c>
      <c r="D41" s="44">
        <f>MAX(D38,0)</f>
        <v>404162</v>
      </c>
      <c r="E41" s="44">
        <f>MAX(E38,0)</f>
        <v>0</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97</v>
      </c>
      <c r="DA41" s="69">
        <v>5.5</v>
      </c>
      <c r="DB41" s="70" t="s">
        <v>98</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3">
      <c r="A42" s="39" t="s">
        <v>99</v>
      </c>
      <c r="B42" s="73"/>
      <c r="C42" s="73"/>
      <c r="D42" s="74">
        <f>SUM($C41:C41)-SUM($D39:D39)</f>
        <v>294484</v>
      </c>
      <c r="E42" s="74">
        <f>SUM($C41:D41)-SUM($D39:E39)</f>
        <v>-8064223</v>
      </c>
      <c r="F42" s="74">
        <f>SUM($C41:E41)-SUM($D39:F39)</f>
        <v>-8064223</v>
      </c>
      <c r="G42" s="74">
        <f>SUM($C41:F41)-SUM($D39:G39)</f>
        <v>-8064223</v>
      </c>
      <c r="H42" s="74">
        <f>SUM($C41:G41)-SUM($D39:H39)</f>
        <v>-8064223</v>
      </c>
      <c r="I42" s="74">
        <f>SUM($C41:H41)-SUM($D39:I39)</f>
        <v>-8064223</v>
      </c>
      <c r="J42" s="74">
        <f>SUM($C41:I41)-SUM($D39:J39)</f>
        <v>-8064223</v>
      </c>
      <c r="K42" s="74">
        <f>SUM($C41:J41)-SUM($D39:K39)</f>
        <v>-8064223</v>
      </c>
      <c r="L42" s="74">
        <f>SUM($C41:K41)-SUM($D39:L39)</f>
        <v>-8064223</v>
      </c>
      <c r="M42" s="74">
        <f>SUM($C41:L41)-SUM($D39:M39)</f>
        <v>-8064223</v>
      </c>
      <c r="N42" s="74">
        <f>SUM($C41:M41)-SUM($D39:N39)</f>
        <v>-8064223</v>
      </c>
      <c r="O42" s="74">
        <f>SUM($C41:N41)-SUM($D39:O39)</f>
        <v>-8064223</v>
      </c>
      <c r="P42" s="74">
        <f>SUM($C41:O41)-SUM($D39:P39)</f>
        <v>-8064223</v>
      </c>
      <c r="Q42" s="74">
        <f>SUM($C41:P41)-SUM($D39:Q39)</f>
        <v>-8064223</v>
      </c>
      <c r="R42" s="74">
        <f>SUM($C41:Q41)-SUM($D39:R39)</f>
        <v>-8064223</v>
      </c>
      <c r="S42" s="74">
        <f>SUM($C41:R41)-SUM($D39:S39)</f>
        <v>-8064223</v>
      </c>
      <c r="T42" s="74">
        <f>SUM($C41:S41)-SUM($D39:T39)</f>
        <v>-8064223</v>
      </c>
      <c r="U42" s="74">
        <f>SUM($C41:T41)-SUM($D39:U39)</f>
        <v>-8064223</v>
      </c>
      <c r="V42" s="74">
        <f>SUM($C41:U41)-SUM($D39:V39)</f>
        <v>-8064223</v>
      </c>
      <c r="W42" s="74">
        <f>SUM($C41:V41)-SUM($D39:W39)</f>
        <v>-8064223</v>
      </c>
      <c r="X42" s="74">
        <f>SUM($C41:W41)-SUM($D39:X39)</f>
        <v>-8064223</v>
      </c>
      <c r="Y42" s="74">
        <f>SUM($C41:X41)-SUM($D39:Y39)</f>
        <v>-8064223</v>
      </c>
      <c r="Z42" s="74">
        <f>SUM($C41:Y41)-SUM($D39:Z39)</f>
        <v>-8064223</v>
      </c>
      <c r="AA42" s="74">
        <f>SUM($C41:Z41)-SUM($D39:AA39)</f>
        <v>-8064223</v>
      </c>
      <c r="AB42" s="74">
        <f>SUM($C41:AA41)-SUM($D39:AB39)</f>
        <v>-8064223</v>
      </c>
      <c r="AC42" s="74">
        <f>SUM($C41:AB41)-SUM($D39:AC39)</f>
        <v>-8064223</v>
      </c>
      <c r="AD42" s="74">
        <f>SUM($C41:AC41)-SUM($D39:AD39)</f>
        <v>-8064223</v>
      </c>
      <c r="AE42" s="74">
        <f>SUM($C41:AD41)-SUM($D39:AE39)</f>
        <v>-8064223</v>
      </c>
      <c r="AF42" s="74">
        <f>SUM($C41:AE41)-SUM($D39:AF39)</f>
        <v>-8064223</v>
      </c>
      <c r="AG42" s="74">
        <f>SUM($C41:AF41)-SUM($D39:AG39)</f>
        <v>-8064223</v>
      </c>
      <c r="AH42" s="74">
        <f>SUM($C41:AG41)-SUM($D39:AH39)</f>
        <v>-8064223</v>
      </c>
      <c r="AI42" s="74">
        <f>SUM($C41:AH41)-SUM($D39:AI39)</f>
        <v>-8064223</v>
      </c>
      <c r="AJ42" s="74">
        <f>SUM($C41:AI41)-SUM($D39:AJ39)</f>
        <v>-8064223</v>
      </c>
      <c r="AK42" s="74">
        <f>SUM($C41:AJ41)-SUM($D39:AK39)</f>
        <v>-8064223</v>
      </c>
      <c r="AL42" s="74">
        <f>SUM($C41:AK41)-SUM($D39:AL39)</f>
        <v>-8064223</v>
      </c>
      <c r="AM42" s="74">
        <f>SUM($C41:AL41)-SUM($D39:AM39)</f>
        <v>-8064223</v>
      </c>
      <c r="AN42" s="74">
        <f>SUM($C41:AM41)-SUM($D39:AN39)</f>
        <v>-8064223</v>
      </c>
      <c r="AO42" s="74">
        <f>SUM($C41:AN41)-SUM($D39:AO39)</f>
        <v>-8064223</v>
      </c>
      <c r="AP42" s="74">
        <f>SUM($C41:AO41)-SUM($D39:AP39)</f>
        <v>-8064223</v>
      </c>
      <c r="AQ42" s="74">
        <f>SUM($C41:AP41)-SUM($D39:AQ39)</f>
        <v>-8064223</v>
      </c>
      <c r="AR42" s="74">
        <f>SUM($C41:AQ41)-SUM($D39:AR39)</f>
        <v>-8064223</v>
      </c>
      <c r="AS42" s="74">
        <f>SUM($C41:AR41)-SUM($D39:AS39)</f>
        <v>-8064223</v>
      </c>
      <c r="AT42" s="74">
        <f>SUM($C41:AS41)-SUM($D39:AT39)</f>
        <v>-8064223</v>
      </c>
      <c r="AU42" s="74">
        <f>SUM($C41:AT41)-SUM($D39:AU39)</f>
        <v>-8064223</v>
      </c>
      <c r="AV42" s="74">
        <f>SUM($C41:AU41)-SUM($D39:AV39)</f>
        <v>-8064223</v>
      </c>
      <c r="AW42" s="74">
        <f>SUM($C41:AV41)-SUM($D39:AW39)</f>
        <v>-8064223</v>
      </c>
      <c r="AX42" s="74">
        <f>SUM($C41:AW41)-SUM($D39:AX39)</f>
        <v>-8064223</v>
      </c>
      <c r="AY42" s="74">
        <f>SUM($C41:AX41)-SUM($D39:AY39)</f>
        <v>-8064223</v>
      </c>
      <c r="AZ42" s="74">
        <f>SUM($C41:AY41)-SUM($D39:AZ39)</f>
        <v>-8064223</v>
      </c>
      <c r="BA42" s="74">
        <f>SUM($C41:AZ41)-SUM($D39:BA39)</f>
        <v>-8064223</v>
      </c>
      <c r="BB42" s="74">
        <f>SUM($C41:BA41)-SUM($D39:BB39)</f>
        <v>-8064223</v>
      </c>
      <c r="BC42" s="74">
        <f>SUM($C41:BB41)-SUM($D39:BC39)</f>
        <v>-8064223</v>
      </c>
      <c r="BD42" s="74">
        <f>SUM($C41:BC41)-SUM($D39:BD39)</f>
        <v>-8064223</v>
      </c>
      <c r="BE42" s="74">
        <f>SUM($C41:BD41)-SUM($D39:BE39)</f>
        <v>-8064223</v>
      </c>
      <c r="BF42" s="74">
        <f>SUM($C41:BE41)-SUM($D39:BF39)</f>
        <v>-8064223</v>
      </c>
      <c r="BG42" s="74">
        <f>SUM($C41:BF41)-SUM($D39:BG39)</f>
        <v>-8064223</v>
      </c>
      <c r="BH42" s="74">
        <f>SUM($C41:BG41)-SUM($D39:BH39)</f>
        <v>-8064223</v>
      </c>
      <c r="BI42" s="74">
        <f>SUM($C41:BH41)-SUM($D39:BI39)</f>
        <v>-8064223</v>
      </c>
      <c r="BJ42" s="74">
        <f>SUM($C41:BI41)-SUM($D39:BJ39)</f>
        <v>-8064223</v>
      </c>
      <c r="BK42" s="74">
        <f>SUM($C41:BJ41)-SUM($D39:BK39)</f>
        <v>-8064223</v>
      </c>
      <c r="BL42" s="74">
        <f>SUM($C41:BK41)-SUM($D39:BL39)</f>
        <v>-8064223</v>
      </c>
      <c r="BM42" s="74">
        <f>SUM($C41:BL41)-SUM($D39:BM39)</f>
        <v>-8064223</v>
      </c>
      <c r="BN42" s="74">
        <f>SUM($C41:BM41)-SUM($D39:BN39)</f>
        <v>-8064223</v>
      </c>
      <c r="BO42" s="74">
        <f>SUM($C41:BN41)-SUM($D39:BO39)</f>
        <v>-8064223</v>
      </c>
      <c r="BP42" s="74">
        <f>SUM($C41:BO41)-SUM($D39:BP39)</f>
        <v>-8064223</v>
      </c>
      <c r="BQ42" s="74">
        <f>SUM($C41:BP41)-SUM($D39:BQ39)</f>
        <v>-8064223</v>
      </c>
      <c r="BR42" s="74">
        <f>SUM($C41:BQ41)-SUM($D39:BR39)</f>
        <v>-8064223</v>
      </c>
      <c r="BS42" s="74">
        <f>SUM($C41:BR41)-SUM($D39:BS39)</f>
        <v>-8064223</v>
      </c>
      <c r="BT42" s="74">
        <f>SUM($C41:BS41)-SUM($D39:BT39)</f>
        <v>-8064223</v>
      </c>
      <c r="BU42" s="74">
        <f>SUM($C41:BT41)-SUM($D39:BU39)</f>
        <v>-8064223</v>
      </c>
      <c r="BV42" s="74">
        <f>SUM($C41:BU41)-SUM($D39:BV39)</f>
        <v>-8064223</v>
      </c>
      <c r="BW42" s="74">
        <f>SUM($C41:BV41)-SUM($D39:BW39)</f>
        <v>-8064223</v>
      </c>
      <c r="BX42" s="74">
        <f>SUM($C41:BW41)-SUM($D39:BX39)</f>
        <v>-8064223</v>
      </c>
      <c r="BY42" s="74">
        <f>SUM($C41:BX41)-SUM($D39:BY39)</f>
        <v>-8064223</v>
      </c>
      <c r="BZ42" s="74">
        <f>SUM($C41:BY41)-SUM($D39:BZ39)</f>
        <v>-8064223</v>
      </c>
      <c r="CA42" s="74">
        <f>SUM($C41:BZ41)-SUM($D39:CA39)</f>
        <v>-8064223</v>
      </c>
      <c r="CB42" s="74">
        <f>SUM($C41:CA41)-SUM($D39:CB39)</f>
        <v>-8064223</v>
      </c>
      <c r="CC42" s="74">
        <f>SUM($C41:CB41)-SUM($D39:CC39)</f>
        <v>-8064223</v>
      </c>
      <c r="CD42" s="74">
        <f>SUM($C41:CC41)-SUM($D39:CD39)</f>
        <v>-8064223</v>
      </c>
      <c r="CE42" s="74">
        <f>SUM($C41:CD41)-SUM($D39:CE39)</f>
        <v>-8064223</v>
      </c>
      <c r="CF42" s="74">
        <f>SUM($C41:CE41)-SUM($D39:CF39)</f>
        <v>-8064223</v>
      </c>
      <c r="CG42" s="74">
        <f>SUM($C41:CF41)-SUM($D39:CG39)</f>
        <v>-8064223</v>
      </c>
      <c r="CH42" s="74">
        <f>SUM($C41:CG41)-SUM($D39:CH39)</f>
        <v>-8064223</v>
      </c>
      <c r="CI42" s="74">
        <f>SUM($C41:CH41)-SUM($D39:CI39)</f>
        <v>-8064223</v>
      </c>
      <c r="CJ42" s="74">
        <f>SUM($C41:CI41)-SUM($D39:CJ39)</f>
        <v>-8064223</v>
      </c>
      <c r="CK42" s="74">
        <f>SUM($C41:CJ41)-SUM($D39:CK39)</f>
        <v>-8064223</v>
      </c>
      <c r="CL42" s="74">
        <f>SUM($C41:CK41)-SUM($D39:CL39)</f>
        <v>-8064223</v>
      </c>
      <c r="CM42" s="74">
        <f>SUM($C41:CL41)-SUM($D39:CM39)</f>
        <v>-8064223</v>
      </c>
      <c r="CN42" s="74">
        <f>SUM($C41:CM41)-SUM($D39:CN39)</f>
        <v>-8064223</v>
      </c>
      <c r="CO42" s="74">
        <f>SUM($C41:CN41)-SUM($D39:CO39)</f>
        <v>-8064223</v>
      </c>
      <c r="CP42" s="74">
        <f>SUM($C41:CO41)-SUM($D39:CP39)</f>
        <v>-8064223</v>
      </c>
      <c r="CQ42" s="74">
        <f>SUM($C41:CP41)-SUM($D39:CQ39)</f>
        <v>-8064223</v>
      </c>
      <c r="CR42" s="74">
        <f>SUM($C41:CQ41)-SUM($D39:CR39)</f>
        <v>-8064223</v>
      </c>
      <c r="CS42" s="74">
        <f>SUM($C41:CR41)-SUM($D39:CS39)</f>
        <v>-8064223</v>
      </c>
      <c r="CT42" s="74">
        <f>SUM($C41:CS41)-SUM($D39:CT39)</f>
        <v>-8064223</v>
      </c>
      <c r="CU42" s="74">
        <f>SUM($C41:CT41)-SUM($D39:CU39)</f>
        <v>-8064223</v>
      </c>
      <c r="CV42" s="74">
        <f>SUM($C41:CU41)-SUM($D39:CV39)</f>
        <v>-8064223</v>
      </c>
      <c r="CW42" s="74">
        <f>SUM($C41:CV41)-SUM($D39:CW39)</f>
        <v>-8064223</v>
      </c>
      <c r="CX42" s="74">
        <f>SUM($C41:CW41)-SUM($D39:CX39)</f>
        <v>-8064223</v>
      </c>
      <c r="CY42" s="75"/>
      <c r="CZ42" s="41" t="s">
        <v>100</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3">
      <c r="A43" s="39" t="s">
        <v>101</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3">
      <c r="A44" s="79" t="s">
        <v>102</v>
      </c>
      <c r="B44" s="80">
        <v>30</v>
      </c>
      <c r="C44" s="79">
        <v>100</v>
      </c>
      <c r="D44" s="79">
        <v>100</v>
      </c>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103</v>
      </c>
      <c r="DA44" s="83">
        <v>5.5</v>
      </c>
      <c r="DB44" s="84" t="s">
        <v>104</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3">
      <c r="A45" s="39" t="s">
        <v>105</v>
      </c>
      <c r="B45" s="141"/>
      <c r="C45" s="143">
        <f>C44</f>
        <v>100</v>
      </c>
      <c r="D45" s="143">
        <f t="shared" ref="D45:K45" si="41">IF(AND(D44&gt;=C44,D44&gt;0),D44,IF(AND(D44&lt;C44,D44&gt;0),C45-1,IF(AND(D44=0,C45&gt;0),C45-1,0)))</f>
        <v>100</v>
      </c>
      <c r="E45" s="143">
        <f t="shared" si="41"/>
        <v>99</v>
      </c>
      <c r="F45" s="143">
        <f t="shared" si="41"/>
        <v>98</v>
      </c>
      <c r="G45" s="143">
        <f t="shared" si="41"/>
        <v>97</v>
      </c>
      <c r="H45" s="143">
        <f t="shared" si="41"/>
        <v>96</v>
      </c>
      <c r="I45" s="143">
        <f t="shared" si="41"/>
        <v>95</v>
      </c>
      <c r="J45" s="143">
        <f t="shared" si="41"/>
        <v>94</v>
      </c>
      <c r="K45" s="143">
        <f t="shared" si="41"/>
        <v>93</v>
      </c>
      <c r="L45" s="143">
        <f>IF(AND(L44&gt;=K44,L44&gt;0),L44,IF(AND(L44&lt;K44,L44&gt;0),K45-1,IF(AND(L44=0,K45&gt;0),K45-1,0)))</f>
        <v>92</v>
      </c>
      <c r="M45" s="143">
        <f t="shared" ref="M45:BX45" si="42">IF(AND(M44&gt;=L44,M44&gt;0),M44,IF(AND(M44&lt;L44,M44&gt;0),L45-1,IF(AND(M44=0,L45&gt;0),L45-1,0)))</f>
        <v>91</v>
      </c>
      <c r="N45" s="143">
        <f t="shared" si="42"/>
        <v>90</v>
      </c>
      <c r="O45" s="143">
        <f t="shared" si="42"/>
        <v>89</v>
      </c>
      <c r="P45" s="143">
        <f t="shared" si="42"/>
        <v>88</v>
      </c>
      <c r="Q45" s="143">
        <f t="shared" si="42"/>
        <v>87</v>
      </c>
      <c r="R45" s="143">
        <f t="shared" si="42"/>
        <v>86</v>
      </c>
      <c r="S45" s="143">
        <f t="shared" si="42"/>
        <v>85</v>
      </c>
      <c r="T45" s="143">
        <f t="shared" si="42"/>
        <v>84</v>
      </c>
      <c r="U45" s="143">
        <f t="shared" si="42"/>
        <v>83</v>
      </c>
      <c r="V45" s="143">
        <f t="shared" si="42"/>
        <v>82</v>
      </c>
      <c r="W45" s="143">
        <f t="shared" si="42"/>
        <v>81</v>
      </c>
      <c r="X45" s="143">
        <f t="shared" si="42"/>
        <v>80</v>
      </c>
      <c r="Y45" s="143">
        <f t="shared" si="42"/>
        <v>79</v>
      </c>
      <c r="Z45" s="143">
        <f t="shared" si="42"/>
        <v>78</v>
      </c>
      <c r="AA45" s="143">
        <f t="shared" si="42"/>
        <v>77</v>
      </c>
      <c r="AB45" s="143">
        <f t="shared" si="42"/>
        <v>76</v>
      </c>
      <c r="AC45" s="143">
        <f t="shared" si="42"/>
        <v>75</v>
      </c>
      <c r="AD45" s="143">
        <f t="shared" si="42"/>
        <v>74</v>
      </c>
      <c r="AE45" s="143">
        <f t="shared" si="42"/>
        <v>73</v>
      </c>
      <c r="AF45" s="143">
        <f t="shared" si="42"/>
        <v>72</v>
      </c>
      <c r="AG45" s="143">
        <f t="shared" si="42"/>
        <v>71</v>
      </c>
      <c r="AH45" s="143">
        <f t="shared" si="42"/>
        <v>70</v>
      </c>
      <c r="AI45" s="143">
        <f t="shared" si="42"/>
        <v>69</v>
      </c>
      <c r="AJ45" s="143">
        <f t="shared" si="42"/>
        <v>68</v>
      </c>
      <c r="AK45" s="143">
        <f t="shared" si="42"/>
        <v>67</v>
      </c>
      <c r="AL45" s="143">
        <f t="shared" si="42"/>
        <v>66</v>
      </c>
      <c r="AM45" s="143">
        <f t="shared" si="42"/>
        <v>65</v>
      </c>
      <c r="AN45" s="143">
        <f t="shared" si="42"/>
        <v>64</v>
      </c>
      <c r="AO45" s="143">
        <f t="shared" si="42"/>
        <v>63</v>
      </c>
      <c r="AP45" s="143">
        <f t="shared" si="42"/>
        <v>62</v>
      </c>
      <c r="AQ45" s="143">
        <f t="shared" si="42"/>
        <v>61</v>
      </c>
      <c r="AR45" s="143">
        <f t="shared" si="42"/>
        <v>60</v>
      </c>
      <c r="AS45" s="143">
        <f t="shared" si="42"/>
        <v>59</v>
      </c>
      <c r="AT45" s="143">
        <f t="shared" si="42"/>
        <v>58</v>
      </c>
      <c r="AU45" s="143">
        <f t="shared" si="42"/>
        <v>57</v>
      </c>
      <c r="AV45" s="143">
        <f t="shared" si="42"/>
        <v>56</v>
      </c>
      <c r="AW45" s="143">
        <f t="shared" si="42"/>
        <v>55</v>
      </c>
      <c r="AX45" s="143">
        <f t="shared" si="42"/>
        <v>54</v>
      </c>
      <c r="AY45" s="143">
        <f t="shared" si="42"/>
        <v>53</v>
      </c>
      <c r="AZ45" s="143">
        <f t="shared" si="42"/>
        <v>52</v>
      </c>
      <c r="BA45" s="143">
        <f t="shared" si="42"/>
        <v>51</v>
      </c>
      <c r="BB45" s="143">
        <f t="shared" si="42"/>
        <v>50</v>
      </c>
      <c r="BC45" s="143">
        <f t="shared" si="42"/>
        <v>49</v>
      </c>
      <c r="BD45" s="143">
        <f t="shared" si="42"/>
        <v>48</v>
      </c>
      <c r="BE45" s="143">
        <f t="shared" si="42"/>
        <v>47</v>
      </c>
      <c r="BF45" s="143">
        <f t="shared" si="42"/>
        <v>46</v>
      </c>
      <c r="BG45" s="143">
        <f t="shared" si="42"/>
        <v>45</v>
      </c>
      <c r="BH45" s="143">
        <f t="shared" si="42"/>
        <v>44</v>
      </c>
      <c r="BI45" s="143">
        <f t="shared" si="42"/>
        <v>43</v>
      </c>
      <c r="BJ45" s="143">
        <f t="shared" si="42"/>
        <v>42</v>
      </c>
      <c r="BK45" s="143">
        <f t="shared" si="42"/>
        <v>41</v>
      </c>
      <c r="BL45" s="143">
        <f t="shared" si="42"/>
        <v>40</v>
      </c>
      <c r="BM45" s="143">
        <f t="shared" si="42"/>
        <v>39</v>
      </c>
      <c r="BN45" s="143">
        <f t="shared" si="42"/>
        <v>38</v>
      </c>
      <c r="BO45" s="143">
        <f t="shared" si="42"/>
        <v>37</v>
      </c>
      <c r="BP45" s="143">
        <f t="shared" si="42"/>
        <v>36</v>
      </c>
      <c r="BQ45" s="143">
        <f t="shared" si="42"/>
        <v>35</v>
      </c>
      <c r="BR45" s="143">
        <f t="shared" si="42"/>
        <v>34</v>
      </c>
      <c r="BS45" s="143">
        <f t="shared" si="42"/>
        <v>33</v>
      </c>
      <c r="BT45" s="143">
        <f t="shared" si="42"/>
        <v>32</v>
      </c>
      <c r="BU45" s="143">
        <f t="shared" si="42"/>
        <v>31</v>
      </c>
      <c r="BV45" s="143">
        <f t="shared" si="42"/>
        <v>30</v>
      </c>
      <c r="BW45" s="143">
        <f t="shared" si="42"/>
        <v>29</v>
      </c>
      <c r="BX45" s="143">
        <f t="shared" si="42"/>
        <v>28</v>
      </c>
      <c r="BY45" s="143">
        <f t="shared" ref="BY45:CX45" si="43">IF(AND(BY44&gt;=BX44,BY44&gt;0),BY44,IF(AND(BY44&lt;BX44,BY44&gt;0),BX45-1,IF(AND(BY44=0,BX45&gt;0),BX45-1,0)))</f>
        <v>27</v>
      </c>
      <c r="BZ45" s="143">
        <f t="shared" si="43"/>
        <v>26</v>
      </c>
      <c r="CA45" s="143">
        <f t="shared" si="43"/>
        <v>25</v>
      </c>
      <c r="CB45" s="143">
        <f t="shared" si="43"/>
        <v>24</v>
      </c>
      <c r="CC45" s="143">
        <f t="shared" si="43"/>
        <v>23</v>
      </c>
      <c r="CD45" s="143">
        <f t="shared" si="43"/>
        <v>22</v>
      </c>
      <c r="CE45" s="143">
        <f t="shared" si="43"/>
        <v>21</v>
      </c>
      <c r="CF45" s="143">
        <f t="shared" si="43"/>
        <v>20</v>
      </c>
      <c r="CG45" s="143">
        <f t="shared" si="43"/>
        <v>19</v>
      </c>
      <c r="CH45" s="143">
        <f t="shared" si="43"/>
        <v>18</v>
      </c>
      <c r="CI45" s="143">
        <f t="shared" si="43"/>
        <v>17</v>
      </c>
      <c r="CJ45" s="143">
        <f t="shared" si="43"/>
        <v>16</v>
      </c>
      <c r="CK45" s="143">
        <f t="shared" si="43"/>
        <v>15</v>
      </c>
      <c r="CL45" s="143">
        <f t="shared" si="43"/>
        <v>14</v>
      </c>
      <c r="CM45" s="143">
        <f t="shared" si="43"/>
        <v>13</v>
      </c>
      <c r="CN45" s="143">
        <f t="shared" si="43"/>
        <v>12</v>
      </c>
      <c r="CO45" s="143">
        <f t="shared" si="43"/>
        <v>11</v>
      </c>
      <c r="CP45" s="143">
        <f t="shared" si="43"/>
        <v>10</v>
      </c>
      <c r="CQ45" s="143">
        <f t="shared" si="43"/>
        <v>9</v>
      </c>
      <c r="CR45" s="143">
        <f t="shared" si="43"/>
        <v>8</v>
      </c>
      <c r="CS45" s="143">
        <f t="shared" si="43"/>
        <v>7</v>
      </c>
      <c r="CT45" s="143">
        <f t="shared" si="43"/>
        <v>6</v>
      </c>
      <c r="CU45" s="143">
        <f t="shared" si="43"/>
        <v>5</v>
      </c>
      <c r="CV45" s="143">
        <f t="shared" si="43"/>
        <v>4</v>
      </c>
      <c r="CW45" s="143">
        <f t="shared" si="43"/>
        <v>3</v>
      </c>
      <c r="CX45" s="143">
        <f t="shared" si="43"/>
        <v>2</v>
      </c>
      <c r="CY45" s="75"/>
      <c r="CZ45" s="41" t="s">
        <v>106</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3">
      <c r="A46" s="205" t="s">
        <v>107</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3">
      <c r="A47" s="87" t="s">
        <v>108</v>
      </c>
      <c r="B47" s="80"/>
      <c r="C47" s="71">
        <f t="shared" ref="C47:E47" si="44">(IF(C44&lt;100,C41*(C45+1)*0.01,IF(C44=100,C41*(C45)*0.01,0)))</f>
        <v>294484</v>
      </c>
      <c r="D47" s="71">
        <f t="shared" si="44"/>
        <v>404162</v>
      </c>
      <c r="E47" s="71">
        <f t="shared" si="44"/>
        <v>0</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109</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3">
      <c r="A48" s="87" t="s">
        <v>110</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3">
      <c r="A49" s="87" t="s">
        <v>111</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 x14ac:dyDescent="0.3">
      <c r="A50" s="87" t="s">
        <v>112</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113</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45">
      <c r="A51" s="89" t="s">
        <v>114</v>
      </c>
      <c r="B51" s="90"/>
      <c r="C51" s="91">
        <f>ROUNDDOWN(C47+C50,0)</f>
        <v>294484</v>
      </c>
      <c r="D51" s="91">
        <f>IF(D41&gt;=C41,D47+D50,0)</f>
        <v>404162</v>
      </c>
      <c r="E51" s="91">
        <f>E47+E50</f>
        <v>0</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115</v>
      </c>
      <c r="DA51" s="69">
        <v>5.5</v>
      </c>
      <c r="DB51" s="70" t="s">
        <v>116</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5" customHeight="1" x14ac:dyDescent="0.3">
      <c r="A52" s="87" t="s">
        <v>117</v>
      </c>
      <c r="B52" s="90"/>
      <c r="C52" s="71">
        <f>Sheet2!B22-(Sheet2!B21*Sheet2!B2)</f>
        <v>291539.15999999997</v>
      </c>
      <c r="D52" s="71">
        <f t="shared" ref="D52:F52" si="53">D47-(D41*0.01)</f>
        <v>400120.38</v>
      </c>
      <c r="E52" s="71">
        <f t="shared" si="53"/>
        <v>0</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118</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5" customHeight="1" x14ac:dyDescent="0.3">
      <c r="A53" s="93" t="s">
        <v>119</v>
      </c>
      <c r="B53" s="94"/>
      <c r="C53" s="95">
        <f t="shared" ref="C53" si="56">B53+C51</f>
        <v>294484</v>
      </c>
      <c r="D53" s="95">
        <f>C53+D51</f>
        <v>698646</v>
      </c>
      <c r="E53" s="95">
        <f t="shared" ref="E53:BP53" si="57">D53+E51</f>
        <v>698646</v>
      </c>
      <c r="F53" s="95">
        <f>E53+F51</f>
        <v>698646</v>
      </c>
      <c r="G53" s="95">
        <f t="shared" si="57"/>
        <v>698646</v>
      </c>
      <c r="H53" s="95">
        <f t="shared" si="57"/>
        <v>698646</v>
      </c>
      <c r="I53" s="95">
        <f t="shared" si="57"/>
        <v>698646</v>
      </c>
      <c r="J53" s="95">
        <f t="shared" si="57"/>
        <v>698646</v>
      </c>
      <c r="K53" s="95">
        <f t="shared" si="57"/>
        <v>698646</v>
      </c>
      <c r="L53" s="95">
        <f t="shared" si="57"/>
        <v>698646</v>
      </c>
      <c r="M53" s="95">
        <f t="shared" si="57"/>
        <v>698646</v>
      </c>
      <c r="N53" s="95">
        <f t="shared" si="57"/>
        <v>698646</v>
      </c>
      <c r="O53" s="95">
        <f t="shared" si="57"/>
        <v>698646</v>
      </c>
      <c r="P53" s="95">
        <f t="shared" si="57"/>
        <v>698646</v>
      </c>
      <c r="Q53" s="95">
        <f t="shared" si="57"/>
        <v>698646</v>
      </c>
      <c r="R53" s="95">
        <f t="shared" si="57"/>
        <v>698646</v>
      </c>
      <c r="S53" s="95">
        <f t="shared" si="57"/>
        <v>698646</v>
      </c>
      <c r="T53" s="95">
        <f t="shared" si="57"/>
        <v>698646</v>
      </c>
      <c r="U53" s="95">
        <f t="shared" si="57"/>
        <v>698646</v>
      </c>
      <c r="V53" s="95">
        <f t="shared" si="57"/>
        <v>698646</v>
      </c>
      <c r="W53" s="95">
        <f t="shared" si="57"/>
        <v>698646</v>
      </c>
      <c r="X53" s="95">
        <f t="shared" si="57"/>
        <v>698646</v>
      </c>
      <c r="Y53" s="95">
        <f t="shared" si="57"/>
        <v>698646</v>
      </c>
      <c r="Z53" s="95">
        <f t="shared" si="57"/>
        <v>698646</v>
      </c>
      <c r="AA53" s="95">
        <f t="shared" si="57"/>
        <v>698646</v>
      </c>
      <c r="AB53" s="95">
        <f t="shared" si="57"/>
        <v>698646</v>
      </c>
      <c r="AC53" s="95">
        <f t="shared" si="57"/>
        <v>698646</v>
      </c>
      <c r="AD53" s="95">
        <f t="shared" si="57"/>
        <v>698646</v>
      </c>
      <c r="AE53" s="95">
        <f t="shared" si="57"/>
        <v>698646</v>
      </c>
      <c r="AF53" s="95">
        <f t="shared" si="57"/>
        <v>698646</v>
      </c>
      <c r="AG53" s="95">
        <f t="shared" si="57"/>
        <v>698646</v>
      </c>
      <c r="AH53" s="95">
        <f t="shared" si="57"/>
        <v>698646</v>
      </c>
      <c r="AI53" s="95">
        <f t="shared" si="57"/>
        <v>698646</v>
      </c>
      <c r="AJ53" s="95">
        <f t="shared" si="57"/>
        <v>698646</v>
      </c>
      <c r="AK53" s="95">
        <f t="shared" si="57"/>
        <v>698646</v>
      </c>
      <c r="AL53" s="95">
        <f t="shared" si="57"/>
        <v>698646</v>
      </c>
      <c r="AM53" s="95">
        <f t="shared" si="57"/>
        <v>698646</v>
      </c>
      <c r="AN53" s="95">
        <f t="shared" si="57"/>
        <v>698646</v>
      </c>
      <c r="AO53" s="95">
        <f t="shared" si="57"/>
        <v>698646</v>
      </c>
      <c r="AP53" s="95">
        <f t="shared" si="57"/>
        <v>698646</v>
      </c>
      <c r="AQ53" s="95">
        <f t="shared" si="57"/>
        <v>698646</v>
      </c>
      <c r="AR53" s="95">
        <f t="shared" si="57"/>
        <v>698646</v>
      </c>
      <c r="AS53" s="95">
        <f t="shared" si="57"/>
        <v>698646</v>
      </c>
      <c r="AT53" s="95">
        <f t="shared" si="57"/>
        <v>698646</v>
      </c>
      <c r="AU53" s="95">
        <f t="shared" si="57"/>
        <v>698646</v>
      </c>
      <c r="AV53" s="95">
        <f t="shared" si="57"/>
        <v>698646</v>
      </c>
      <c r="AW53" s="95">
        <f t="shared" si="57"/>
        <v>698646</v>
      </c>
      <c r="AX53" s="95">
        <f t="shared" si="57"/>
        <v>698646</v>
      </c>
      <c r="AY53" s="95">
        <f t="shared" si="57"/>
        <v>698646</v>
      </c>
      <c r="AZ53" s="95">
        <f t="shared" si="57"/>
        <v>698646</v>
      </c>
      <c r="BA53" s="95">
        <f t="shared" si="57"/>
        <v>698646</v>
      </c>
      <c r="BB53" s="95">
        <f t="shared" si="57"/>
        <v>698646</v>
      </c>
      <c r="BC53" s="95">
        <f t="shared" si="57"/>
        <v>698646</v>
      </c>
      <c r="BD53" s="95">
        <f t="shared" si="57"/>
        <v>698646</v>
      </c>
      <c r="BE53" s="95">
        <f t="shared" si="57"/>
        <v>698646</v>
      </c>
      <c r="BF53" s="95">
        <f t="shared" si="57"/>
        <v>698646</v>
      </c>
      <c r="BG53" s="95">
        <f t="shared" si="57"/>
        <v>698646</v>
      </c>
      <c r="BH53" s="95">
        <f t="shared" si="57"/>
        <v>698646</v>
      </c>
      <c r="BI53" s="95">
        <f t="shared" si="57"/>
        <v>698646</v>
      </c>
      <c r="BJ53" s="95">
        <f t="shared" si="57"/>
        <v>698646</v>
      </c>
      <c r="BK53" s="95">
        <f t="shared" si="57"/>
        <v>698646</v>
      </c>
      <c r="BL53" s="95">
        <f t="shared" si="57"/>
        <v>698646</v>
      </c>
      <c r="BM53" s="95">
        <f t="shared" si="57"/>
        <v>698646</v>
      </c>
      <c r="BN53" s="95">
        <f t="shared" si="57"/>
        <v>698646</v>
      </c>
      <c r="BO53" s="95">
        <f t="shared" si="57"/>
        <v>698646</v>
      </c>
      <c r="BP53" s="95">
        <f t="shared" si="57"/>
        <v>698646</v>
      </c>
      <c r="BQ53" s="95">
        <f t="shared" ref="BQ53:CX53" si="58">BP53+BQ51</f>
        <v>698646</v>
      </c>
      <c r="BR53" s="95">
        <f t="shared" si="58"/>
        <v>698646</v>
      </c>
      <c r="BS53" s="95">
        <f t="shared" si="58"/>
        <v>698646</v>
      </c>
      <c r="BT53" s="95">
        <f t="shared" si="58"/>
        <v>698646</v>
      </c>
      <c r="BU53" s="95">
        <f t="shared" si="58"/>
        <v>698646</v>
      </c>
      <c r="BV53" s="95">
        <f t="shared" si="58"/>
        <v>698646</v>
      </c>
      <c r="BW53" s="95">
        <f t="shared" si="58"/>
        <v>698646</v>
      </c>
      <c r="BX53" s="95">
        <f t="shared" si="58"/>
        <v>698646</v>
      </c>
      <c r="BY53" s="95">
        <f t="shared" si="58"/>
        <v>698646</v>
      </c>
      <c r="BZ53" s="95">
        <f t="shared" si="58"/>
        <v>698646</v>
      </c>
      <c r="CA53" s="95">
        <f t="shared" si="58"/>
        <v>698646</v>
      </c>
      <c r="CB53" s="95">
        <f t="shared" si="58"/>
        <v>698646</v>
      </c>
      <c r="CC53" s="95">
        <f t="shared" si="58"/>
        <v>698646</v>
      </c>
      <c r="CD53" s="95">
        <f t="shared" si="58"/>
        <v>698646</v>
      </c>
      <c r="CE53" s="95">
        <f t="shared" si="58"/>
        <v>698646</v>
      </c>
      <c r="CF53" s="95">
        <f t="shared" si="58"/>
        <v>698646</v>
      </c>
      <c r="CG53" s="95">
        <f t="shared" si="58"/>
        <v>698646</v>
      </c>
      <c r="CH53" s="95">
        <f t="shared" si="58"/>
        <v>698646</v>
      </c>
      <c r="CI53" s="95">
        <f t="shared" si="58"/>
        <v>698646</v>
      </c>
      <c r="CJ53" s="95">
        <f t="shared" si="58"/>
        <v>698646</v>
      </c>
      <c r="CK53" s="95">
        <f t="shared" si="58"/>
        <v>698646</v>
      </c>
      <c r="CL53" s="95">
        <f t="shared" si="58"/>
        <v>698646</v>
      </c>
      <c r="CM53" s="95">
        <f t="shared" si="58"/>
        <v>698646</v>
      </c>
      <c r="CN53" s="95">
        <f t="shared" si="58"/>
        <v>698646</v>
      </c>
      <c r="CO53" s="95">
        <f t="shared" si="58"/>
        <v>698646</v>
      </c>
      <c r="CP53" s="95">
        <f t="shared" si="58"/>
        <v>698646</v>
      </c>
      <c r="CQ53" s="95">
        <f t="shared" si="58"/>
        <v>698646</v>
      </c>
      <c r="CR53" s="95">
        <f t="shared" si="58"/>
        <v>698646</v>
      </c>
      <c r="CS53" s="95">
        <f t="shared" si="58"/>
        <v>698646</v>
      </c>
      <c r="CT53" s="95">
        <f t="shared" si="58"/>
        <v>698646</v>
      </c>
      <c r="CU53" s="95">
        <f t="shared" si="58"/>
        <v>698646</v>
      </c>
      <c r="CV53" s="95">
        <f t="shared" si="58"/>
        <v>698646</v>
      </c>
      <c r="CW53" s="95">
        <f t="shared" si="58"/>
        <v>698646</v>
      </c>
      <c r="CX53" s="95">
        <f t="shared" si="58"/>
        <v>698646</v>
      </c>
      <c r="CY53" s="96"/>
      <c r="CZ53" s="41" t="s">
        <v>120</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5" customHeight="1" x14ac:dyDescent="0.3">
      <c r="A54" s="87" t="s">
        <v>121</v>
      </c>
      <c r="B54" s="138"/>
      <c r="C54" s="101">
        <f>SUM($C$52:C52)</f>
        <v>291539.15999999997</v>
      </c>
      <c r="D54" s="101">
        <f>SUM($C$52:D52)</f>
        <v>691659.54</v>
      </c>
      <c r="E54" s="101">
        <f>SUM($C$52:E52)</f>
        <v>691659.54</v>
      </c>
      <c r="F54" s="101">
        <f>SUM($C$52:F52)</f>
        <v>691659.54</v>
      </c>
      <c r="G54" s="101">
        <f>SUM($C$52:G52)</f>
        <v>691659.54</v>
      </c>
      <c r="H54" s="101">
        <f>SUM($C$52:H52)</f>
        <v>691659.54</v>
      </c>
      <c r="I54" s="101">
        <f>SUM($C$52:I52)</f>
        <v>691659.54</v>
      </c>
      <c r="J54" s="101">
        <f>SUM($C$52:J52)</f>
        <v>691659.54</v>
      </c>
      <c r="K54" s="101">
        <f>SUM($C$52:K52)</f>
        <v>691659.54</v>
      </c>
      <c r="L54" s="101">
        <f>SUM($C$52:L52)</f>
        <v>691659.54</v>
      </c>
      <c r="M54" s="101">
        <f>SUM($C$52:M52)</f>
        <v>691659.54</v>
      </c>
      <c r="N54" s="101">
        <f>SUM($C$52:N52)</f>
        <v>691659.54</v>
      </c>
      <c r="O54" s="101">
        <f>SUM($C$52:O52)</f>
        <v>691659.54</v>
      </c>
      <c r="P54" s="101">
        <f>SUM($C$52:P52)</f>
        <v>691659.54</v>
      </c>
      <c r="Q54" s="101">
        <f>SUM($C$52:Q52)</f>
        <v>691659.54</v>
      </c>
      <c r="R54" s="101">
        <f>SUM($C$52:R52)</f>
        <v>691659.54</v>
      </c>
      <c r="S54" s="101">
        <f>SUM($C$52:S52)</f>
        <v>691659.54</v>
      </c>
      <c r="T54" s="101">
        <f>SUM($C$52:T52)</f>
        <v>691659.54</v>
      </c>
      <c r="U54" s="101">
        <f>SUM($C$52:U52)</f>
        <v>691659.54</v>
      </c>
      <c r="V54" s="101">
        <f>SUM($C$52:V52)</f>
        <v>691659.54</v>
      </c>
      <c r="W54" s="101">
        <f>SUM($C$52:W52)</f>
        <v>691659.54</v>
      </c>
      <c r="X54" s="101">
        <f>SUM($C$52:X52)</f>
        <v>691659.54</v>
      </c>
      <c r="Y54" s="101">
        <f>SUM($C$52:Y52)</f>
        <v>691659.54</v>
      </c>
      <c r="Z54" s="101">
        <f>SUM($C$52:Z52)</f>
        <v>691659.54</v>
      </c>
      <c r="AA54" s="101">
        <f>SUM($C$52:AA52)</f>
        <v>691659.54</v>
      </c>
      <c r="AB54" s="101">
        <f>SUM($C$52:AB52)</f>
        <v>691659.54</v>
      </c>
      <c r="AC54" s="101">
        <f>SUM($C$52:AC52)</f>
        <v>691659.54</v>
      </c>
      <c r="AD54" s="101">
        <f>SUM($C$52:AD52)</f>
        <v>691659.54</v>
      </c>
      <c r="AE54" s="101">
        <f>SUM($C$52:AE52)</f>
        <v>691659.54</v>
      </c>
      <c r="AF54" s="101">
        <f>SUM($C$52:AF52)</f>
        <v>691659.54</v>
      </c>
      <c r="AG54" s="101">
        <f>SUM($C$52:AG52)</f>
        <v>691659.54</v>
      </c>
      <c r="AH54" s="101">
        <f>SUM($C$52:AH52)</f>
        <v>691659.54</v>
      </c>
      <c r="AI54" s="101">
        <f>SUM($C$52:AI52)</f>
        <v>691659.54</v>
      </c>
      <c r="AJ54" s="101">
        <f>SUM($C$52:AJ52)</f>
        <v>691659.54</v>
      </c>
      <c r="AK54" s="101">
        <f>SUM($C$52:AK52)</f>
        <v>691659.54</v>
      </c>
      <c r="AL54" s="101">
        <f>SUM($C$52:AL52)</f>
        <v>691659.54</v>
      </c>
      <c r="AM54" s="101">
        <f>SUM($C$52:AM52)</f>
        <v>691659.54</v>
      </c>
      <c r="AN54" s="101">
        <f>SUM($C$52:AN52)</f>
        <v>691659.54</v>
      </c>
      <c r="AO54" s="101">
        <f>SUM($C$52:AO52)</f>
        <v>691659.54</v>
      </c>
      <c r="AP54" s="101">
        <f>SUM($C$52:AP52)</f>
        <v>691659.54</v>
      </c>
      <c r="AQ54" s="101">
        <f>SUM($C$52:AQ52)</f>
        <v>691659.54</v>
      </c>
      <c r="AR54" s="101">
        <f>SUM($C$52:AR52)</f>
        <v>691659.54</v>
      </c>
      <c r="AS54" s="101">
        <f>SUM($C$52:AS52)</f>
        <v>691659.54</v>
      </c>
      <c r="AT54" s="101">
        <f>SUM($C$52:AT52)</f>
        <v>691659.54</v>
      </c>
      <c r="AU54" s="101">
        <f>SUM($C$52:AU52)</f>
        <v>691659.54</v>
      </c>
      <c r="AV54" s="101">
        <f>SUM($C$52:AV52)</f>
        <v>691659.54</v>
      </c>
      <c r="AW54" s="101">
        <f>SUM($C$52:AW52)</f>
        <v>691659.54</v>
      </c>
      <c r="AX54" s="101">
        <f>SUM($C$52:AX52)</f>
        <v>691659.54</v>
      </c>
      <c r="AY54" s="101">
        <f>SUM($C$52:AY52)</f>
        <v>691659.54</v>
      </c>
      <c r="AZ54" s="101">
        <f>SUM($C$52:AZ52)</f>
        <v>691659.54</v>
      </c>
      <c r="BA54" s="101">
        <f>SUM($C$52:BA52)</f>
        <v>691659.54</v>
      </c>
      <c r="BB54" s="101">
        <f>SUM($C$52:BB52)</f>
        <v>691659.54</v>
      </c>
      <c r="BC54" s="101">
        <f>SUM($C$52:BC52)</f>
        <v>691659.54</v>
      </c>
      <c r="BD54" s="101">
        <f>SUM($C$52:BD52)</f>
        <v>691659.54</v>
      </c>
      <c r="BE54" s="101">
        <f>SUM($C$52:BE52)</f>
        <v>691659.54</v>
      </c>
      <c r="BF54" s="101">
        <f>SUM($C$52:BF52)</f>
        <v>691659.54</v>
      </c>
      <c r="BG54" s="101">
        <f>SUM($C$52:BG52)</f>
        <v>691659.54</v>
      </c>
      <c r="BH54" s="101">
        <f>SUM($C$52:BH52)</f>
        <v>691659.54</v>
      </c>
      <c r="BI54" s="101">
        <f>SUM($C$52:BI52)</f>
        <v>691659.54</v>
      </c>
      <c r="BJ54" s="101">
        <f>SUM($C$52:BJ52)</f>
        <v>691659.54</v>
      </c>
      <c r="BK54" s="101">
        <f>SUM($C$52:BK52)</f>
        <v>691659.54</v>
      </c>
      <c r="BL54" s="101">
        <f>SUM($C$52:BL52)</f>
        <v>691659.54</v>
      </c>
      <c r="BM54" s="101">
        <f>SUM($C$52:BM52)</f>
        <v>691659.54</v>
      </c>
      <c r="BN54" s="101">
        <f>SUM($C$52:BN52)</f>
        <v>691659.54</v>
      </c>
      <c r="BO54" s="101">
        <f>SUM($C$52:BO52)</f>
        <v>691659.54</v>
      </c>
      <c r="BP54" s="101">
        <f>SUM($C$52:BP52)</f>
        <v>691659.54</v>
      </c>
      <c r="BQ54" s="101">
        <f>SUM($C$52:BQ52)</f>
        <v>691659.54</v>
      </c>
      <c r="BR54" s="101">
        <f>SUM($C$52:BR52)</f>
        <v>691659.54</v>
      </c>
      <c r="BS54" s="101">
        <f>SUM($C$52:BS52)</f>
        <v>691659.54</v>
      </c>
      <c r="BT54" s="101">
        <f>SUM($C$52:BT52)</f>
        <v>691659.54</v>
      </c>
      <c r="BU54" s="101">
        <f>SUM($C$52:BU52)</f>
        <v>691659.54</v>
      </c>
      <c r="BV54" s="101">
        <f>SUM($C$52:BV52)</f>
        <v>691659.54</v>
      </c>
      <c r="BW54" s="101">
        <f>SUM($C$52:BW52)</f>
        <v>691659.54</v>
      </c>
      <c r="BX54" s="101">
        <f>SUM($C$52:BX52)</f>
        <v>691659.54</v>
      </c>
      <c r="BY54" s="101">
        <f>SUM($C$52:BY52)</f>
        <v>691659.54</v>
      </c>
      <c r="BZ54" s="101">
        <f>SUM($C$52:BZ52)</f>
        <v>691659.54</v>
      </c>
      <c r="CA54" s="101">
        <f>SUM($C$52:CA52)</f>
        <v>691659.54</v>
      </c>
      <c r="CB54" s="101">
        <f>SUM($C$52:CB52)</f>
        <v>691659.54</v>
      </c>
      <c r="CC54" s="101">
        <f>SUM($C$52:CC52)</f>
        <v>691659.54</v>
      </c>
      <c r="CD54" s="101">
        <f>SUM($C$52:CD52)</f>
        <v>691659.54</v>
      </c>
      <c r="CE54" s="101">
        <f>SUM($C$52:CE52)</f>
        <v>691659.54</v>
      </c>
      <c r="CF54" s="101">
        <f>SUM($C$52:CF52)</f>
        <v>691659.54</v>
      </c>
      <c r="CG54" s="101">
        <f>SUM($C$52:CG52)</f>
        <v>691659.54</v>
      </c>
      <c r="CH54" s="101">
        <f>SUM($C$52:CH52)</f>
        <v>691659.54</v>
      </c>
      <c r="CI54" s="101">
        <f>SUM($C$52:CI52)</f>
        <v>691659.54</v>
      </c>
      <c r="CJ54" s="101">
        <f>SUM($C$52:CJ52)</f>
        <v>691659.54</v>
      </c>
      <c r="CK54" s="101">
        <f>SUM($C$52:CK52)</f>
        <v>691659.54</v>
      </c>
      <c r="CL54" s="101">
        <f>SUM($C$52:CL52)</f>
        <v>691659.54</v>
      </c>
      <c r="CM54" s="101">
        <f>SUM($C$52:CM52)</f>
        <v>691659.54</v>
      </c>
      <c r="CN54" s="101">
        <f>SUM($C$52:CN52)</f>
        <v>691659.54</v>
      </c>
      <c r="CO54" s="101">
        <f>SUM($C$52:CO52)</f>
        <v>691659.54</v>
      </c>
      <c r="CP54" s="101">
        <f>SUM($C$52:CP52)</f>
        <v>691659.54</v>
      </c>
      <c r="CQ54" s="101">
        <f>SUM($C$52:CQ52)</f>
        <v>691659.54</v>
      </c>
      <c r="CR54" s="101">
        <f>SUM($C$52:CR52)</f>
        <v>691659.54</v>
      </c>
      <c r="CS54" s="101">
        <f>SUM($C$52:CS52)</f>
        <v>691659.54</v>
      </c>
      <c r="CT54" s="101">
        <f>SUM($C$52:CT52)</f>
        <v>691659.54</v>
      </c>
      <c r="CU54" s="101">
        <f>SUM($C$52:CU52)</f>
        <v>691659.54</v>
      </c>
      <c r="CV54" s="101">
        <f>SUM($C$52:CV52)</f>
        <v>691659.54</v>
      </c>
      <c r="CW54" s="101">
        <f>SUM($C$52:CW52)</f>
        <v>691659.54</v>
      </c>
      <c r="CX54" s="101">
        <f>SUM($C$52:CX52)</f>
        <v>691659.54</v>
      </c>
      <c r="CY54" s="139"/>
      <c r="CZ54" s="41" t="s">
        <v>122</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3">
      <c r="A55" s="87" t="s">
        <v>123</v>
      </c>
      <c r="B55" s="138"/>
      <c r="C55" s="101">
        <f>IF(C13&lt;B12,C22*C45*0.01,0)</f>
        <v>0</v>
      </c>
      <c r="D55" s="101">
        <f>IF(D13&lt;C13,(D13-C13)*D45*0.01,0)</f>
        <v>0</v>
      </c>
      <c r="E55" s="101">
        <f>IF(E13&lt;D13,(E13-D13)*E45*0.01,0)</f>
        <v>-8675240.3100000005</v>
      </c>
      <c r="F55" s="101">
        <f t="shared" ref="F55:BP55" si="59">IF(F13&lt;E13,(F13-E13)*F45*0.01,0)</f>
        <v>0</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124</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3">
      <c r="A56" s="205" t="s">
        <v>125</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3">
      <c r="A57" s="39" t="s">
        <v>126</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127</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3">
      <c r="A58" s="87" t="s">
        <v>128</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129</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3">
      <c r="A59" s="205" t="s">
        <v>130</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3">
      <c r="A60" s="23" t="s">
        <v>131</v>
      </c>
      <c r="B60" s="17">
        <v>30</v>
      </c>
      <c r="C60" s="312">
        <v>0.29389999999999999</v>
      </c>
      <c r="D60" s="312">
        <v>0.29389999999999999</v>
      </c>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132</v>
      </c>
      <c r="DA60" s="83" t="s">
        <v>133</v>
      </c>
      <c r="DB60" s="84" t="s">
        <v>134</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3">
      <c r="A61" s="39" t="s">
        <v>135</v>
      </c>
      <c r="B61" s="73"/>
      <c r="C61" s="101">
        <f t="shared" ref="C61:AH61" si="68">ROUNDDOWN(IF(C51&gt;0,C60*C52,0),0)</f>
        <v>85683</v>
      </c>
      <c r="D61" s="101">
        <f t="shared" si="68"/>
        <v>117595</v>
      </c>
      <c r="E61" s="101">
        <f t="shared" si="68"/>
        <v>0</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136</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3">
      <c r="A62" s="305" t="s">
        <v>137</v>
      </c>
      <c r="B62" s="104"/>
      <c r="C62" s="105">
        <v>0</v>
      </c>
      <c r="D62" s="105">
        <v>0</v>
      </c>
      <c r="E62" s="105">
        <v>0</v>
      </c>
      <c r="F62" s="105">
        <v>0</v>
      </c>
      <c r="G62" s="105">
        <v>0</v>
      </c>
      <c r="H62" s="105">
        <f>SUM('FA Dividendos'!$B$20:G20)-SUM('FA Dividendos'!G21:G120)</f>
        <v>11020.729999999981</v>
      </c>
      <c r="I62" s="105">
        <v>0</v>
      </c>
      <c r="J62" s="105">
        <v>0</v>
      </c>
      <c r="K62" s="105">
        <v>0</v>
      </c>
      <c r="L62" s="105">
        <v>0</v>
      </c>
      <c r="M62" s="105">
        <v>0</v>
      </c>
      <c r="N62" s="105">
        <f>SUM('FA Dividendos'!$B$20:M20)-SUM('FA Dividendos'!M21:M120)</f>
        <v>23217.409999999974</v>
      </c>
      <c r="O62" s="105">
        <v>0</v>
      </c>
      <c r="P62" s="105">
        <v>0</v>
      </c>
      <c r="Q62" s="105">
        <v>0</v>
      </c>
      <c r="R62" s="105">
        <v>0</v>
      </c>
      <c r="S62" s="105">
        <v>0</v>
      </c>
      <c r="T62" s="105">
        <f>SUM('FA Dividendos'!$B$20:S20)-SUM('FA Dividendos'!S21:S120)</f>
        <v>35414.089999999967</v>
      </c>
      <c r="U62" s="105">
        <v>0</v>
      </c>
      <c r="V62" s="105">
        <v>0</v>
      </c>
      <c r="W62" s="105">
        <v>0</v>
      </c>
      <c r="X62" s="105">
        <v>0</v>
      </c>
      <c r="Y62" s="105">
        <v>0</v>
      </c>
      <c r="Z62" s="105">
        <f>SUM('FA Dividendos'!$B$20:Y20)-SUM('FA Dividendos'!Y21:Y120)</f>
        <v>47610.76999999996</v>
      </c>
      <c r="AA62" s="105">
        <v>0</v>
      </c>
      <c r="AB62" s="105">
        <v>0</v>
      </c>
      <c r="AC62" s="105">
        <v>0</v>
      </c>
      <c r="AD62" s="105">
        <v>0</v>
      </c>
      <c r="AE62" s="105">
        <v>0</v>
      </c>
      <c r="AF62" s="105">
        <f>SUM('FA Dividendos'!$B$20:AE20)-SUM('FA Dividendos'!AE21:AE120)</f>
        <v>59807.449999999953</v>
      </c>
      <c r="AG62" s="105">
        <v>0</v>
      </c>
      <c r="AH62" s="105">
        <v>0</v>
      </c>
      <c r="AI62" s="105">
        <v>0</v>
      </c>
      <c r="AJ62" s="105">
        <v>0</v>
      </c>
      <c r="AK62" s="105">
        <v>0</v>
      </c>
      <c r="AL62" s="105">
        <f>SUM('FA Dividendos'!$B$20:AK20)-SUM('FA Dividendos'!AK21:AK120)</f>
        <v>72004.129999999946</v>
      </c>
      <c r="AM62" s="105">
        <v>0</v>
      </c>
      <c r="AN62" s="105">
        <v>0</v>
      </c>
      <c r="AO62" s="105">
        <v>0</v>
      </c>
      <c r="AP62" s="105">
        <v>0</v>
      </c>
      <c r="AQ62" s="105">
        <v>0</v>
      </c>
      <c r="AR62" s="105">
        <f>SUM('FA Dividendos'!$B$20:AQ20)-SUM('FA Dividendos'!AQ21:AQ120)</f>
        <v>84200.809999999954</v>
      </c>
      <c r="AS62" s="105">
        <v>0</v>
      </c>
      <c r="AT62" s="105">
        <v>0</v>
      </c>
      <c r="AU62" s="105">
        <v>0</v>
      </c>
      <c r="AV62" s="105">
        <v>0</v>
      </c>
      <c r="AW62" s="105">
        <v>0</v>
      </c>
      <c r="AX62" s="105">
        <f>SUM('FA Dividendos'!$B$20:AW20)-SUM('FA Dividendos'!AW21:AW120)</f>
        <v>96397.489999999947</v>
      </c>
      <c r="AY62" s="105">
        <v>0</v>
      </c>
      <c r="AZ62" s="105">
        <v>0</v>
      </c>
      <c r="BA62" s="105">
        <v>0</v>
      </c>
      <c r="BB62" s="105">
        <v>0</v>
      </c>
      <c r="BC62" s="105">
        <v>0</v>
      </c>
      <c r="BD62" s="105">
        <f>SUM('FA Dividendos'!$B$20:BC20)-SUM('FA Dividendos'!BC21:BC120)</f>
        <v>108594.16999999994</v>
      </c>
      <c r="BE62" s="105">
        <v>0</v>
      </c>
      <c r="BF62" s="105">
        <v>0</v>
      </c>
      <c r="BG62" s="105">
        <v>0</v>
      </c>
      <c r="BH62" s="105">
        <v>0</v>
      </c>
      <c r="BI62" s="105">
        <v>0</v>
      </c>
      <c r="BJ62" s="105">
        <f>SUM('FA Dividendos'!$B$20:BI20)-SUM('FA Dividendos'!BI21:BI120)</f>
        <v>120790.84999999993</v>
      </c>
      <c r="BK62" s="105">
        <v>0</v>
      </c>
      <c r="BL62" s="105">
        <v>0</v>
      </c>
      <c r="BM62" s="105">
        <v>0</v>
      </c>
      <c r="BN62" s="105">
        <v>0</v>
      </c>
      <c r="BO62" s="105">
        <v>0</v>
      </c>
      <c r="BP62" s="105">
        <f>SUM('FA Dividendos'!$B$20:BO20)-SUM('FA Dividendos'!BO21:BO120)</f>
        <v>132987.52999999991</v>
      </c>
      <c r="BQ62" s="105">
        <v>0</v>
      </c>
      <c r="BR62" s="105">
        <v>0</v>
      </c>
      <c r="BS62" s="105">
        <v>0</v>
      </c>
      <c r="BT62" s="105">
        <v>0</v>
      </c>
      <c r="BU62" s="105">
        <v>0</v>
      </c>
      <c r="BV62" s="105">
        <f>SUM('FA Dividendos'!$B$20:BU20)-SUM('FA Dividendos'!BU21:BU120)</f>
        <v>145184.2099999999</v>
      </c>
      <c r="BW62" s="105">
        <v>0</v>
      </c>
      <c r="BX62" s="105">
        <v>0</v>
      </c>
      <c r="BY62" s="105">
        <v>0</v>
      </c>
      <c r="BZ62" s="105">
        <v>0</v>
      </c>
      <c r="CA62" s="105">
        <v>0</v>
      </c>
      <c r="CB62" s="105">
        <f>SUM('FA Dividendos'!$B$20:CA20)-SUM('FA Dividendos'!CA21:CA120)</f>
        <v>157380.88999999993</v>
      </c>
      <c r="CC62" s="105">
        <v>0</v>
      </c>
      <c r="CD62" s="105">
        <v>0</v>
      </c>
      <c r="CE62" s="105">
        <v>0</v>
      </c>
      <c r="CF62" s="105">
        <v>0</v>
      </c>
      <c r="CG62" s="105">
        <v>0</v>
      </c>
      <c r="CH62" s="105">
        <f>SUM('FA Dividendos'!$B$20:CG20)-SUM('FA Dividendos'!CG21:CG120)</f>
        <v>169577.56999999995</v>
      </c>
      <c r="CI62" s="105">
        <v>0</v>
      </c>
      <c r="CJ62" s="105">
        <v>0</v>
      </c>
      <c r="CK62" s="105">
        <v>0</v>
      </c>
      <c r="CL62" s="105">
        <v>0</v>
      </c>
      <c r="CM62" s="105">
        <v>0</v>
      </c>
      <c r="CN62" s="105">
        <f>SUM('FA Dividendos'!$B$20:CM20)-SUM('FA Dividendos'!CM21:CM120)</f>
        <v>181774.24999999994</v>
      </c>
      <c r="CO62" s="105">
        <v>0</v>
      </c>
      <c r="CP62" s="105">
        <v>0</v>
      </c>
      <c r="CQ62" s="105">
        <v>0</v>
      </c>
      <c r="CR62" s="105">
        <v>0</v>
      </c>
      <c r="CS62" s="105">
        <v>0</v>
      </c>
      <c r="CT62" s="105">
        <f>SUM('FA Dividendos'!$B$20:CS20)-SUM('FA Dividendos'!CS21:CS120)</f>
        <v>193970.92999999993</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3">
      <c r="A63" s="106" t="s">
        <v>138</v>
      </c>
      <c r="B63" s="107"/>
      <c r="C63" s="108">
        <f t="shared" ref="C63:AH63" si="72">ROUNDDOWN(C51-C61+C62,0)</f>
        <v>208801</v>
      </c>
      <c r="D63" s="108">
        <f t="shared" si="72"/>
        <v>286567</v>
      </c>
      <c r="E63" s="108">
        <f t="shared" si="72"/>
        <v>0</v>
      </c>
      <c r="F63" s="108">
        <f t="shared" si="72"/>
        <v>0</v>
      </c>
      <c r="G63" s="108">
        <f t="shared" si="72"/>
        <v>0</v>
      </c>
      <c r="H63" s="108">
        <f t="shared" si="72"/>
        <v>11020</v>
      </c>
      <c r="I63" s="108">
        <f t="shared" si="72"/>
        <v>0</v>
      </c>
      <c r="J63" s="108">
        <f t="shared" si="72"/>
        <v>0</v>
      </c>
      <c r="K63" s="108">
        <f t="shared" si="72"/>
        <v>0</v>
      </c>
      <c r="L63" s="108">
        <f t="shared" si="72"/>
        <v>0</v>
      </c>
      <c r="M63" s="108">
        <f t="shared" si="72"/>
        <v>0</v>
      </c>
      <c r="N63" s="108">
        <f t="shared" si="72"/>
        <v>23217</v>
      </c>
      <c r="O63" s="108">
        <f t="shared" si="72"/>
        <v>0</v>
      </c>
      <c r="P63" s="108">
        <f t="shared" si="72"/>
        <v>0</v>
      </c>
      <c r="Q63" s="108">
        <f t="shared" si="72"/>
        <v>0</v>
      </c>
      <c r="R63" s="108">
        <f t="shared" si="72"/>
        <v>0</v>
      </c>
      <c r="S63" s="108">
        <f t="shared" si="72"/>
        <v>0</v>
      </c>
      <c r="T63" s="108">
        <f t="shared" si="72"/>
        <v>35414</v>
      </c>
      <c r="U63" s="108">
        <f t="shared" si="72"/>
        <v>0</v>
      </c>
      <c r="V63" s="108">
        <f t="shared" si="72"/>
        <v>0</v>
      </c>
      <c r="W63" s="108">
        <f t="shared" si="72"/>
        <v>0</v>
      </c>
      <c r="X63" s="108">
        <f t="shared" si="72"/>
        <v>0</v>
      </c>
      <c r="Y63" s="108">
        <f t="shared" si="72"/>
        <v>0</v>
      </c>
      <c r="Z63" s="108">
        <f t="shared" si="72"/>
        <v>47610</v>
      </c>
      <c r="AA63" s="108">
        <f t="shared" si="72"/>
        <v>0</v>
      </c>
      <c r="AB63" s="108">
        <f t="shared" si="72"/>
        <v>0</v>
      </c>
      <c r="AC63" s="108">
        <f t="shared" si="72"/>
        <v>0</v>
      </c>
      <c r="AD63" s="108">
        <f t="shared" si="72"/>
        <v>0</v>
      </c>
      <c r="AE63" s="108">
        <f t="shared" si="72"/>
        <v>0</v>
      </c>
      <c r="AF63" s="108">
        <f t="shared" si="72"/>
        <v>59807</v>
      </c>
      <c r="AG63" s="108">
        <f t="shared" si="72"/>
        <v>0</v>
      </c>
      <c r="AH63" s="108">
        <f t="shared" si="72"/>
        <v>0</v>
      </c>
      <c r="AI63" s="108">
        <f t="shared" ref="AI63:BN63" si="73">ROUNDDOWN(AI51-AI61+AI62,0)</f>
        <v>0</v>
      </c>
      <c r="AJ63" s="108">
        <f t="shared" si="73"/>
        <v>0</v>
      </c>
      <c r="AK63" s="108">
        <f t="shared" si="73"/>
        <v>0</v>
      </c>
      <c r="AL63" s="108">
        <f t="shared" si="73"/>
        <v>72004</v>
      </c>
      <c r="AM63" s="108">
        <f t="shared" si="73"/>
        <v>0</v>
      </c>
      <c r="AN63" s="108">
        <f t="shared" si="73"/>
        <v>0</v>
      </c>
      <c r="AO63" s="108">
        <f t="shared" si="73"/>
        <v>0</v>
      </c>
      <c r="AP63" s="108">
        <f t="shared" si="73"/>
        <v>0</v>
      </c>
      <c r="AQ63" s="108">
        <f t="shared" si="73"/>
        <v>0</v>
      </c>
      <c r="AR63" s="108">
        <f t="shared" si="73"/>
        <v>84200</v>
      </c>
      <c r="AS63" s="108">
        <f t="shared" si="73"/>
        <v>0</v>
      </c>
      <c r="AT63" s="108">
        <f t="shared" si="73"/>
        <v>0</v>
      </c>
      <c r="AU63" s="108">
        <f t="shared" si="73"/>
        <v>0</v>
      </c>
      <c r="AV63" s="108">
        <f t="shared" si="73"/>
        <v>0</v>
      </c>
      <c r="AW63" s="108">
        <f t="shared" si="73"/>
        <v>0</v>
      </c>
      <c r="AX63" s="108">
        <f t="shared" si="73"/>
        <v>96397</v>
      </c>
      <c r="AY63" s="108">
        <f t="shared" si="73"/>
        <v>0</v>
      </c>
      <c r="AZ63" s="108">
        <f t="shared" si="73"/>
        <v>0</v>
      </c>
      <c r="BA63" s="108">
        <f t="shared" si="73"/>
        <v>0</v>
      </c>
      <c r="BB63" s="108">
        <f t="shared" si="73"/>
        <v>0</v>
      </c>
      <c r="BC63" s="108">
        <f t="shared" si="73"/>
        <v>0</v>
      </c>
      <c r="BD63" s="108">
        <f t="shared" si="73"/>
        <v>108594</v>
      </c>
      <c r="BE63" s="108">
        <f t="shared" si="73"/>
        <v>0</v>
      </c>
      <c r="BF63" s="108">
        <f t="shared" si="73"/>
        <v>0</v>
      </c>
      <c r="BG63" s="108">
        <f t="shared" si="73"/>
        <v>0</v>
      </c>
      <c r="BH63" s="108">
        <f t="shared" si="73"/>
        <v>0</v>
      </c>
      <c r="BI63" s="108">
        <f t="shared" si="73"/>
        <v>0</v>
      </c>
      <c r="BJ63" s="108">
        <f t="shared" si="73"/>
        <v>120790</v>
      </c>
      <c r="BK63" s="108">
        <f t="shared" si="73"/>
        <v>0</v>
      </c>
      <c r="BL63" s="108">
        <f t="shared" si="73"/>
        <v>0</v>
      </c>
      <c r="BM63" s="108">
        <f t="shared" si="73"/>
        <v>0</v>
      </c>
      <c r="BN63" s="108">
        <f t="shared" si="73"/>
        <v>0</v>
      </c>
      <c r="BO63" s="108">
        <f t="shared" ref="BO63:CT63" si="74">ROUNDDOWN(BO51-BO61+BO62,0)</f>
        <v>0</v>
      </c>
      <c r="BP63" s="108">
        <f t="shared" si="74"/>
        <v>132987</v>
      </c>
      <c r="BQ63" s="108">
        <f t="shared" si="74"/>
        <v>0</v>
      </c>
      <c r="BR63" s="108">
        <f t="shared" si="74"/>
        <v>0</v>
      </c>
      <c r="BS63" s="108">
        <f t="shared" si="74"/>
        <v>0</v>
      </c>
      <c r="BT63" s="108">
        <f t="shared" si="74"/>
        <v>0</v>
      </c>
      <c r="BU63" s="108">
        <f t="shared" si="74"/>
        <v>0</v>
      </c>
      <c r="BV63" s="108">
        <f t="shared" si="74"/>
        <v>145184</v>
      </c>
      <c r="BW63" s="108">
        <f t="shared" si="74"/>
        <v>0</v>
      </c>
      <c r="BX63" s="108">
        <f t="shared" si="74"/>
        <v>0</v>
      </c>
      <c r="BY63" s="108">
        <f t="shared" si="74"/>
        <v>0</v>
      </c>
      <c r="BZ63" s="108">
        <f t="shared" si="74"/>
        <v>0</v>
      </c>
      <c r="CA63" s="108">
        <f t="shared" si="74"/>
        <v>0</v>
      </c>
      <c r="CB63" s="108">
        <f t="shared" si="74"/>
        <v>157380</v>
      </c>
      <c r="CC63" s="108">
        <f t="shared" si="74"/>
        <v>0</v>
      </c>
      <c r="CD63" s="108">
        <f t="shared" si="74"/>
        <v>0</v>
      </c>
      <c r="CE63" s="108">
        <f t="shared" si="74"/>
        <v>0</v>
      </c>
      <c r="CF63" s="108">
        <f t="shared" si="74"/>
        <v>0</v>
      </c>
      <c r="CG63" s="108">
        <f t="shared" si="74"/>
        <v>0</v>
      </c>
      <c r="CH63" s="108">
        <f t="shared" si="74"/>
        <v>169577</v>
      </c>
      <c r="CI63" s="108">
        <f t="shared" si="74"/>
        <v>0</v>
      </c>
      <c r="CJ63" s="108">
        <f t="shared" si="74"/>
        <v>0</v>
      </c>
      <c r="CK63" s="108">
        <f t="shared" si="74"/>
        <v>0</v>
      </c>
      <c r="CL63" s="108">
        <f t="shared" si="74"/>
        <v>0</v>
      </c>
      <c r="CM63" s="108">
        <f t="shared" si="74"/>
        <v>0</v>
      </c>
      <c r="CN63" s="108">
        <f t="shared" si="74"/>
        <v>181774</v>
      </c>
      <c r="CO63" s="108">
        <f t="shared" si="74"/>
        <v>0</v>
      </c>
      <c r="CP63" s="108">
        <f t="shared" si="74"/>
        <v>0</v>
      </c>
      <c r="CQ63" s="108">
        <f t="shared" si="74"/>
        <v>0</v>
      </c>
      <c r="CR63" s="108">
        <f t="shared" si="74"/>
        <v>0</v>
      </c>
      <c r="CS63" s="108">
        <f t="shared" si="74"/>
        <v>0</v>
      </c>
      <c r="CT63" s="108">
        <f t="shared" si="74"/>
        <v>193970</v>
      </c>
      <c r="CU63" s="108">
        <f t="shared" ref="CU63:CX63" si="75">ROUNDDOWN(CU51-CU61+CU62,0)</f>
        <v>0</v>
      </c>
      <c r="CV63" s="108">
        <f t="shared" si="75"/>
        <v>0</v>
      </c>
      <c r="CW63" s="108">
        <f t="shared" si="75"/>
        <v>0</v>
      </c>
      <c r="CX63" s="108">
        <f t="shared" si="75"/>
        <v>0</v>
      </c>
      <c r="CY63" s="102"/>
      <c r="CZ63" s="67" t="s">
        <v>139</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3">
      <c r="A64" s="93" t="s">
        <v>140</v>
      </c>
      <c r="B64" s="107"/>
      <c r="C64" s="108">
        <f>C63</f>
        <v>208801</v>
      </c>
      <c r="D64" s="108">
        <f t="shared" ref="D64:AI64" si="76">C64+D63</f>
        <v>495368</v>
      </c>
      <c r="E64" s="108">
        <f t="shared" si="76"/>
        <v>495368</v>
      </c>
      <c r="F64" s="108">
        <f t="shared" si="76"/>
        <v>495368</v>
      </c>
      <c r="G64" s="108">
        <f t="shared" si="76"/>
        <v>495368</v>
      </c>
      <c r="H64" s="108">
        <f t="shared" si="76"/>
        <v>506388</v>
      </c>
      <c r="I64" s="108">
        <f t="shared" si="76"/>
        <v>506388</v>
      </c>
      <c r="J64" s="108">
        <f t="shared" si="76"/>
        <v>506388</v>
      </c>
      <c r="K64" s="108">
        <f t="shared" si="76"/>
        <v>506388</v>
      </c>
      <c r="L64" s="108">
        <f t="shared" si="76"/>
        <v>506388</v>
      </c>
      <c r="M64" s="108">
        <f t="shared" si="76"/>
        <v>506388</v>
      </c>
      <c r="N64" s="108">
        <f t="shared" si="76"/>
        <v>529605</v>
      </c>
      <c r="O64" s="108">
        <f t="shared" si="76"/>
        <v>529605</v>
      </c>
      <c r="P64" s="108">
        <f t="shared" si="76"/>
        <v>529605</v>
      </c>
      <c r="Q64" s="108">
        <f t="shared" si="76"/>
        <v>529605</v>
      </c>
      <c r="R64" s="108">
        <f t="shared" si="76"/>
        <v>529605</v>
      </c>
      <c r="S64" s="108">
        <f t="shared" si="76"/>
        <v>529605</v>
      </c>
      <c r="T64" s="108">
        <f t="shared" si="76"/>
        <v>565019</v>
      </c>
      <c r="U64" s="108">
        <f t="shared" si="76"/>
        <v>565019</v>
      </c>
      <c r="V64" s="108">
        <f t="shared" si="76"/>
        <v>565019</v>
      </c>
      <c r="W64" s="108">
        <f t="shared" si="76"/>
        <v>565019</v>
      </c>
      <c r="X64" s="108">
        <f t="shared" si="76"/>
        <v>565019</v>
      </c>
      <c r="Y64" s="108">
        <f t="shared" si="76"/>
        <v>565019</v>
      </c>
      <c r="Z64" s="108">
        <f t="shared" si="76"/>
        <v>612629</v>
      </c>
      <c r="AA64" s="108">
        <f t="shared" si="76"/>
        <v>612629</v>
      </c>
      <c r="AB64" s="108">
        <f t="shared" si="76"/>
        <v>612629</v>
      </c>
      <c r="AC64" s="108">
        <f t="shared" si="76"/>
        <v>612629</v>
      </c>
      <c r="AD64" s="108">
        <f t="shared" si="76"/>
        <v>612629</v>
      </c>
      <c r="AE64" s="108">
        <f t="shared" si="76"/>
        <v>612629</v>
      </c>
      <c r="AF64" s="108">
        <f t="shared" si="76"/>
        <v>672436</v>
      </c>
      <c r="AG64" s="108">
        <f t="shared" si="76"/>
        <v>672436</v>
      </c>
      <c r="AH64" s="108">
        <f t="shared" si="76"/>
        <v>672436</v>
      </c>
      <c r="AI64" s="108">
        <f t="shared" si="76"/>
        <v>672436</v>
      </c>
      <c r="AJ64" s="108">
        <f t="shared" ref="AJ64:BO64" si="77">AI64+AJ63</f>
        <v>672436</v>
      </c>
      <c r="AK64" s="108">
        <f t="shared" si="77"/>
        <v>672436</v>
      </c>
      <c r="AL64" s="108">
        <f t="shared" si="77"/>
        <v>744440</v>
      </c>
      <c r="AM64" s="108">
        <f t="shared" si="77"/>
        <v>744440</v>
      </c>
      <c r="AN64" s="108">
        <f t="shared" si="77"/>
        <v>744440</v>
      </c>
      <c r="AO64" s="108">
        <f t="shared" si="77"/>
        <v>744440</v>
      </c>
      <c r="AP64" s="108">
        <f t="shared" si="77"/>
        <v>744440</v>
      </c>
      <c r="AQ64" s="108">
        <f t="shared" si="77"/>
        <v>744440</v>
      </c>
      <c r="AR64" s="108">
        <f t="shared" si="77"/>
        <v>828640</v>
      </c>
      <c r="AS64" s="108">
        <f t="shared" si="77"/>
        <v>828640</v>
      </c>
      <c r="AT64" s="108">
        <f t="shared" si="77"/>
        <v>828640</v>
      </c>
      <c r="AU64" s="108">
        <f t="shared" si="77"/>
        <v>828640</v>
      </c>
      <c r="AV64" s="108">
        <f t="shared" si="77"/>
        <v>828640</v>
      </c>
      <c r="AW64" s="108">
        <f t="shared" si="77"/>
        <v>828640</v>
      </c>
      <c r="AX64" s="108">
        <f t="shared" si="77"/>
        <v>925037</v>
      </c>
      <c r="AY64" s="108">
        <f t="shared" si="77"/>
        <v>925037</v>
      </c>
      <c r="AZ64" s="108">
        <f t="shared" si="77"/>
        <v>925037</v>
      </c>
      <c r="BA64" s="108">
        <f t="shared" si="77"/>
        <v>925037</v>
      </c>
      <c r="BB64" s="108">
        <f t="shared" si="77"/>
        <v>925037</v>
      </c>
      <c r="BC64" s="108">
        <f t="shared" si="77"/>
        <v>925037</v>
      </c>
      <c r="BD64" s="108">
        <f t="shared" si="77"/>
        <v>1033631</v>
      </c>
      <c r="BE64" s="108">
        <f t="shared" si="77"/>
        <v>1033631</v>
      </c>
      <c r="BF64" s="108">
        <f t="shared" si="77"/>
        <v>1033631</v>
      </c>
      <c r="BG64" s="108">
        <f t="shared" si="77"/>
        <v>1033631</v>
      </c>
      <c r="BH64" s="108">
        <f t="shared" si="77"/>
        <v>1033631</v>
      </c>
      <c r="BI64" s="108">
        <f t="shared" si="77"/>
        <v>1033631</v>
      </c>
      <c r="BJ64" s="108">
        <f t="shared" si="77"/>
        <v>1154421</v>
      </c>
      <c r="BK64" s="108">
        <f t="shared" si="77"/>
        <v>1154421</v>
      </c>
      <c r="BL64" s="108">
        <f t="shared" si="77"/>
        <v>1154421</v>
      </c>
      <c r="BM64" s="108">
        <f t="shared" si="77"/>
        <v>1154421</v>
      </c>
      <c r="BN64" s="108">
        <f t="shared" si="77"/>
        <v>1154421</v>
      </c>
      <c r="BO64" s="108">
        <f t="shared" si="77"/>
        <v>1154421</v>
      </c>
      <c r="BP64" s="108">
        <f t="shared" ref="BP64:CU64" si="78">BO64+BP63</f>
        <v>1287408</v>
      </c>
      <c r="BQ64" s="108">
        <f t="shared" si="78"/>
        <v>1287408</v>
      </c>
      <c r="BR64" s="108">
        <f t="shared" si="78"/>
        <v>1287408</v>
      </c>
      <c r="BS64" s="108">
        <f t="shared" si="78"/>
        <v>1287408</v>
      </c>
      <c r="BT64" s="108">
        <f t="shared" si="78"/>
        <v>1287408</v>
      </c>
      <c r="BU64" s="108">
        <f t="shared" si="78"/>
        <v>1287408</v>
      </c>
      <c r="BV64" s="108">
        <f t="shared" si="78"/>
        <v>1432592</v>
      </c>
      <c r="BW64" s="108">
        <f t="shared" si="78"/>
        <v>1432592</v>
      </c>
      <c r="BX64" s="108">
        <f t="shared" si="78"/>
        <v>1432592</v>
      </c>
      <c r="BY64" s="108">
        <f t="shared" si="78"/>
        <v>1432592</v>
      </c>
      <c r="BZ64" s="108">
        <f t="shared" si="78"/>
        <v>1432592</v>
      </c>
      <c r="CA64" s="108">
        <f t="shared" si="78"/>
        <v>1432592</v>
      </c>
      <c r="CB64" s="108">
        <f t="shared" si="78"/>
        <v>1589972</v>
      </c>
      <c r="CC64" s="108">
        <f t="shared" si="78"/>
        <v>1589972</v>
      </c>
      <c r="CD64" s="108">
        <f t="shared" si="78"/>
        <v>1589972</v>
      </c>
      <c r="CE64" s="108">
        <f t="shared" si="78"/>
        <v>1589972</v>
      </c>
      <c r="CF64" s="108">
        <f t="shared" si="78"/>
        <v>1589972</v>
      </c>
      <c r="CG64" s="108">
        <f t="shared" si="78"/>
        <v>1589972</v>
      </c>
      <c r="CH64" s="108">
        <f t="shared" si="78"/>
        <v>1759549</v>
      </c>
      <c r="CI64" s="108">
        <f t="shared" si="78"/>
        <v>1759549</v>
      </c>
      <c r="CJ64" s="108">
        <f t="shared" si="78"/>
        <v>1759549</v>
      </c>
      <c r="CK64" s="108">
        <f t="shared" si="78"/>
        <v>1759549</v>
      </c>
      <c r="CL64" s="108">
        <f t="shared" si="78"/>
        <v>1759549</v>
      </c>
      <c r="CM64" s="108">
        <f t="shared" si="78"/>
        <v>1759549</v>
      </c>
      <c r="CN64" s="108">
        <f t="shared" si="78"/>
        <v>1941323</v>
      </c>
      <c r="CO64" s="108">
        <f t="shared" si="78"/>
        <v>1941323</v>
      </c>
      <c r="CP64" s="108">
        <f t="shared" si="78"/>
        <v>1941323</v>
      </c>
      <c r="CQ64" s="108">
        <f t="shared" si="78"/>
        <v>1941323</v>
      </c>
      <c r="CR64" s="108">
        <f t="shared" si="78"/>
        <v>1941323</v>
      </c>
      <c r="CS64" s="108">
        <f t="shared" si="78"/>
        <v>1941323</v>
      </c>
      <c r="CT64" s="108">
        <f t="shared" si="78"/>
        <v>2135293</v>
      </c>
      <c r="CU64" s="108">
        <f t="shared" si="78"/>
        <v>2135293</v>
      </c>
      <c r="CV64" s="108">
        <f t="shared" ref="CV64:CX64" si="79">CU64+CV63</f>
        <v>2135293</v>
      </c>
      <c r="CW64" s="108">
        <f t="shared" si="79"/>
        <v>2135293</v>
      </c>
      <c r="CX64" s="108">
        <f t="shared" si="79"/>
        <v>2135293</v>
      </c>
      <c r="CY64" s="109"/>
      <c r="CZ64" s="51" t="s">
        <v>141</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3">
      <c r="A65" s="205" t="s">
        <v>142</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3">
      <c r="A66" s="111" t="s">
        <v>143</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144</v>
      </c>
      <c r="DA66" s="70" t="s">
        <v>145</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3">
      <c r="A67" s="116" t="s">
        <v>138</v>
      </c>
      <c r="B67" s="112"/>
      <c r="C67" s="117">
        <f>ROUNDDOWN(IF(YEAR(C9)=YEAR(C10),C63,(DATEDIF(DATE(YEAR(C9),MONTH(C9),DAY(C9)),DATE(YEAR(C9),12,31),"D")/DATEDIF(C9,C10,"D"))*C63),0)</f>
        <v>6883</v>
      </c>
      <c r="D67" s="117">
        <f t="shared" ref="D67:AI67" si="83">ROUNDDOWN((DATEDIF(DATE(YEAR(D9),MONTH(D9),DAY(D9)),DATE(YEAR(D9),12,31),"D")/DATEDIF(D9,D10,"D"))*D63,0)</f>
        <v>9447</v>
      </c>
      <c r="E67" s="117">
        <f t="shared" si="83"/>
        <v>0</v>
      </c>
      <c r="F67" s="117">
        <f t="shared" si="83"/>
        <v>0</v>
      </c>
      <c r="G67" s="117">
        <f t="shared" si="83"/>
        <v>0</v>
      </c>
      <c r="H67" s="117">
        <f t="shared" si="83"/>
        <v>363</v>
      </c>
      <c r="I67" s="117">
        <f t="shared" si="83"/>
        <v>0</v>
      </c>
      <c r="J67" s="117">
        <f t="shared" si="83"/>
        <v>0</v>
      </c>
      <c r="K67" s="117">
        <f t="shared" si="83"/>
        <v>0</v>
      </c>
      <c r="L67" s="117">
        <f t="shared" si="83"/>
        <v>0</v>
      </c>
      <c r="M67" s="117">
        <f t="shared" si="83"/>
        <v>0</v>
      </c>
      <c r="N67" s="117">
        <f t="shared" si="83"/>
        <v>765</v>
      </c>
      <c r="O67" s="117">
        <f t="shared" si="83"/>
        <v>0</v>
      </c>
      <c r="P67" s="117">
        <f t="shared" si="83"/>
        <v>0</v>
      </c>
      <c r="Q67" s="117">
        <f t="shared" si="83"/>
        <v>0</v>
      </c>
      <c r="R67" s="117">
        <f t="shared" si="83"/>
        <v>0</v>
      </c>
      <c r="S67" s="117">
        <f t="shared" si="83"/>
        <v>0</v>
      </c>
      <c r="T67" s="117">
        <f t="shared" si="83"/>
        <v>1167</v>
      </c>
      <c r="U67" s="117">
        <f t="shared" si="83"/>
        <v>0</v>
      </c>
      <c r="V67" s="117">
        <f t="shared" si="83"/>
        <v>0</v>
      </c>
      <c r="W67" s="117">
        <f t="shared" si="83"/>
        <v>0</v>
      </c>
      <c r="X67" s="117">
        <f t="shared" si="83"/>
        <v>0</v>
      </c>
      <c r="Y67" s="117">
        <f t="shared" si="83"/>
        <v>0</v>
      </c>
      <c r="Z67" s="117">
        <f t="shared" si="83"/>
        <v>1569</v>
      </c>
      <c r="AA67" s="117">
        <f t="shared" si="83"/>
        <v>0</v>
      </c>
      <c r="AB67" s="117">
        <f t="shared" si="83"/>
        <v>0</v>
      </c>
      <c r="AC67" s="117">
        <f t="shared" si="83"/>
        <v>0</v>
      </c>
      <c r="AD67" s="117">
        <f t="shared" si="83"/>
        <v>0</v>
      </c>
      <c r="AE67" s="117">
        <f t="shared" si="83"/>
        <v>0</v>
      </c>
      <c r="AF67" s="117">
        <f t="shared" si="83"/>
        <v>1971</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2373</v>
      </c>
      <c r="AM67" s="117">
        <f t="shared" si="84"/>
        <v>0</v>
      </c>
      <c r="AN67" s="117">
        <f t="shared" si="84"/>
        <v>0</v>
      </c>
      <c r="AO67" s="117">
        <f t="shared" si="84"/>
        <v>0</v>
      </c>
      <c r="AP67" s="117">
        <f t="shared" si="84"/>
        <v>0</v>
      </c>
      <c r="AQ67" s="117">
        <f t="shared" si="84"/>
        <v>0</v>
      </c>
      <c r="AR67" s="117">
        <f t="shared" si="84"/>
        <v>2775</v>
      </c>
      <c r="AS67" s="117">
        <f t="shared" si="84"/>
        <v>0</v>
      </c>
      <c r="AT67" s="117">
        <f t="shared" si="84"/>
        <v>0</v>
      </c>
      <c r="AU67" s="117">
        <f t="shared" si="84"/>
        <v>0</v>
      </c>
      <c r="AV67" s="117">
        <f t="shared" si="84"/>
        <v>0</v>
      </c>
      <c r="AW67" s="117">
        <f t="shared" si="84"/>
        <v>0</v>
      </c>
      <c r="AX67" s="117">
        <f t="shared" si="84"/>
        <v>3177</v>
      </c>
      <c r="AY67" s="117">
        <f t="shared" si="84"/>
        <v>0</v>
      </c>
      <c r="AZ67" s="117">
        <f t="shared" si="84"/>
        <v>0</v>
      </c>
      <c r="BA67" s="117">
        <f t="shared" si="84"/>
        <v>0</v>
      </c>
      <c r="BB67" s="117">
        <f t="shared" si="84"/>
        <v>0</v>
      </c>
      <c r="BC67" s="117">
        <f t="shared" si="84"/>
        <v>0</v>
      </c>
      <c r="BD67" s="117">
        <f t="shared" si="84"/>
        <v>3580</v>
      </c>
      <c r="BE67" s="117">
        <f t="shared" si="84"/>
        <v>0</v>
      </c>
      <c r="BF67" s="117">
        <f t="shared" si="84"/>
        <v>0</v>
      </c>
      <c r="BG67" s="117">
        <f t="shared" si="84"/>
        <v>0</v>
      </c>
      <c r="BH67" s="117">
        <f t="shared" si="84"/>
        <v>0</v>
      </c>
      <c r="BI67" s="117">
        <f t="shared" si="84"/>
        <v>0</v>
      </c>
      <c r="BJ67" s="117">
        <f t="shared" si="84"/>
        <v>3982</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4384</v>
      </c>
      <c r="BQ67" s="117">
        <f t="shared" si="85"/>
        <v>0</v>
      </c>
      <c r="BR67" s="117">
        <f t="shared" si="85"/>
        <v>0</v>
      </c>
      <c r="BS67" s="117">
        <f t="shared" si="85"/>
        <v>0</v>
      </c>
      <c r="BT67" s="117">
        <f t="shared" si="85"/>
        <v>0</v>
      </c>
      <c r="BU67" s="117">
        <f t="shared" si="85"/>
        <v>0</v>
      </c>
      <c r="BV67" s="117">
        <f t="shared" si="85"/>
        <v>4786</v>
      </c>
      <c r="BW67" s="117">
        <f t="shared" si="85"/>
        <v>0</v>
      </c>
      <c r="BX67" s="117">
        <f t="shared" si="85"/>
        <v>0</v>
      </c>
      <c r="BY67" s="117">
        <f t="shared" si="85"/>
        <v>0</v>
      </c>
      <c r="BZ67" s="117">
        <f t="shared" si="85"/>
        <v>0</v>
      </c>
      <c r="CA67" s="117">
        <f t="shared" si="85"/>
        <v>0</v>
      </c>
      <c r="CB67" s="117">
        <f t="shared" si="85"/>
        <v>5188</v>
      </c>
      <c r="CC67" s="117">
        <f t="shared" si="85"/>
        <v>0</v>
      </c>
      <c r="CD67" s="117">
        <f t="shared" si="85"/>
        <v>0</v>
      </c>
      <c r="CE67" s="117">
        <f t="shared" si="85"/>
        <v>0</v>
      </c>
      <c r="CF67" s="117">
        <f t="shared" si="85"/>
        <v>0</v>
      </c>
      <c r="CG67" s="117">
        <f t="shared" si="85"/>
        <v>0</v>
      </c>
      <c r="CH67" s="117">
        <f t="shared" si="85"/>
        <v>5590</v>
      </c>
      <c r="CI67" s="117">
        <f t="shared" si="85"/>
        <v>0</v>
      </c>
      <c r="CJ67" s="117">
        <f t="shared" si="85"/>
        <v>0</v>
      </c>
      <c r="CK67" s="117">
        <f t="shared" si="85"/>
        <v>0</v>
      </c>
      <c r="CL67" s="117">
        <f t="shared" si="85"/>
        <v>0</v>
      </c>
      <c r="CM67" s="117">
        <f t="shared" si="85"/>
        <v>0</v>
      </c>
      <c r="CN67" s="117">
        <f t="shared" si="85"/>
        <v>5992</v>
      </c>
      <c r="CO67" s="117">
        <f t="shared" si="85"/>
        <v>0</v>
      </c>
      <c r="CP67" s="117">
        <f t="shared" si="85"/>
        <v>0</v>
      </c>
      <c r="CQ67" s="117">
        <f t="shared" si="85"/>
        <v>0</v>
      </c>
      <c r="CR67" s="117">
        <f t="shared" si="85"/>
        <v>0</v>
      </c>
      <c r="CS67" s="117">
        <f t="shared" si="85"/>
        <v>0</v>
      </c>
      <c r="CT67" s="117">
        <f t="shared" si="85"/>
        <v>6394</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3">
      <c r="A68" s="116" t="s">
        <v>146</v>
      </c>
      <c r="B68" s="112"/>
      <c r="C68" s="117">
        <f>ROUNDDOWN(IF(YEAR(C9)=YEAR(C10),C61,(DATEDIF(DATE(YEAR(C9),MONTH(C9),DAY(C9)),DATE(YEAR(C9),12,31),"D")/DATEDIF(C9,C10,"D"))*C61),0)</f>
        <v>2824</v>
      </c>
      <c r="D68" s="117">
        <f t="shared" ref="D68:AI68" si="86">ROUNDDOWN((DATEDIF(DATE(YEAR(D9),MONTH(D9),DAY(D9)),DATE(YEAR(D9),12,31),"D")/DATEDIF(D9,D10,"D"))*D61,0)</f>
        <v>3876</v>
      </c>
      <c r="E68" s="117">
        <f t="shared" si="86"/>
        <v>0</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3">
      <c r="A69" s="111" t="s">
        <v>147</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3">
      <c r="A70" s="116" t="s">
        <v>138</v>
      </c>
      <c r="B70" s="112"/>
      <c r="C70" s="119">
        <f t="shared" ref="C70:AH70" si="92">ROUNDDOWN((IF(C69&lt;&gt;"NA",MIN(YEARFRAC(C9,C10,3)*365-INT(DATEDIF(DATE(YEAR(C9),MONTH(C9),DAY(C9)),DATE(YEAR(C9),12,31),"D")),365)/(YEARFRAC(C9,C10,3)*365),0))*C63,0)</f>
        <v>201917</v>
      </c>
      <c r="D70" s="119">
        <f t="shared" si="92"/>
        <v>277119</v>
      </c>
      <c r="E70" s="119">
        <f t="shared" si="92"/>
        <v>0</v>
      </c>
      <c r="F70" s="119">
        <f t="shared" si="92"/>
        <v>0</v>
      </c>
      <c r="G70" s="119">
        <f t="shared" si="92"/>
        <v>0</v>
      </c>
      <c r="H70" s="119">
        <f t="shared" si="92"/>
        <v>10656</v>
      </c>
      <c r="I70" s="119">
        <f t="shared" si="92"/>
        <v>0</v>
      </c>
      <c r="J70" s="119">
        <f t="shared" si="92"/>
        <v>0</v>
      </c>
      <c r="K70" s="119">
        <f t="shared" si="92"/>
        <v>0</v>
      </c>
      <c r="L70" s="119">
        <f t="shared" si="92"/>
        <v>0</v>
      </c>
      <c r="M70" s="119">
        <f t="shared" si="92"/>
        <v>0</v>
      </c>
      <c r="N70" s="119">
        <f t="shared" si="92"/>
        <v>22451</v>
      </c>
      <c r="O70" s="119">
        <f t="shared" si="92"/>
        <v>0</v>
      </c>
      <c r="P70" s="119">
        <f t="shared" si="92"/>
        <v>0</v>
      </c>
      <c r="Q70" s="119">
        <f t="shared" si="92"/>
        <v>0</v>
      </c>
      <c r="R70" s="119">
        <f t="shared" si="92"/>
        <v>0</v>
      </c>
      <c r="S70" s="119">
        <f t="shared" si="92"/>
        <v>0</v>
      </c>
      <c r="T70" s="119">
        <f t="shared" si="92"/>
        <v>34246</v>
      </c>
      <c r="U70" s="119">
        <f t="shared" si="92"/>
        <v>0</v>
      </c>
      <c r="V70" s="119">
        <f t="shared" si="92"/>
        <v>0</v>
      </c>
      <c r="W70" s="119">
        <f t="shared" si="92"/>
        <v>0</v>
      </c>
      <c r="X70" s="119">
        <f t="shared" si="92"/>
        <v>0</v>
      </c>
      <c r="Y70" s="119">
        <f t="shared" si="92"/>
        <v>0</v>
      </c>
      <c r="Z70" s="119">
        <f t="shared" si="92"/>
        <v>46040</v>
      </c>
      <c r="AA70" s="119">
        <f t="shared" si="92"/>
        <v>0</v>
      </c>
      <c r="AB70" s="119">
        <f t="shared" si="92"/>
        <v>0</v>
      </c>
      <c r="AC70" s="119">
        <f t="shared" si="92"/>
        <v>0</v>
      </c>
      <c r="AD70" s="119">
        <f t="shared" si="92"/>
        <v>0</v>
      </c>
      <c r="AE70" s="119">
        <f t="shared" si="92"/>
        <v>0</v>
      </c>
      <c r="AF70" s="119">
        <f t="shared" si="92"/>
        <v>57835</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69630</v>
      </c>
      <c r="AM70" s="119">
        <f t="shared" si="93"/>
        <v>0</v>
      </c>
      <c r="AN70" s="119">
        <f t="shared" si="93"/>
        <v>0</v>
      </c>
      <c r="AO70" s="119">
        <f t="shared" si="93"/>
        <v>0</v>
      </c>
      <c r="AP70" s="119">
        <f t="shared" si="93"/>
        <v>0</v>
      </c>
      <c r="AQ70" s="119">
        <f t="shared" si="93"/>
        <v>0</v>
      </c>
      <c r="AR70" s="119">
        <f t="shared" si="93"/>
        <v>81424</v>
      </c>
      <c r="AS70" s="119">
        <f t="shared" si="93"/>
        <v>0</v>
      </c>
      <c r="AT70" s="119">
        <f t="shared" si="93"/>
        <v>0</v>
      </c>
      <c r="AU70" s="119">
        <f t="shared" si="93"/>
        <v>0</v>
      </c>
      <c r="AV70" s="119">
        <f t="shared" si="93"/>
        <v>0</v>
      </c>
      <c r="AW70" s="119">
        <f t="shared" si="93"/>
        <v>0</v>
      </c>
      <c r="AX70" s="119">
        <f t="shared" si="93"/>
        <v>93219</v>
      </c>
      <c r="AY70" s="119">
        <f t="shared" si="93"/>
        <v>0</v>
      </c>
      <c r="AZ70" s="119">
        <f t="shared" si="93"/>
        <v>0</v>
      </c>
      <c r="BA70" s="119">
        <f t="shared" si="93"/>
        <v>0</v>
      </c>
      <c r="BB70" s="119">
        <f t="shared" si="93"/>
        <v>0</v>
      </c>
      <c r="BC70" s="119">
        <f t="shared" si="93"/>
        <v>0</v>
      </c>
      <c r="BD70" s="119">
        <f t="shared" si="93"/>
        <v>105013</v>
      </c>
      <c r="BE70" s="119">
        <f t="shared" si="93"/>
        <v>0</v>
      </c>
      <c r="BF70" s="119">
        <f t="shared" si="93"/>
        <v>0</v>
      </c>
      <c r="BG70" s="119">
        <f t="shared" si="93"/>
        <v>0</v>
      </c>
      <c r="BH70" s="119">
        <f t="shared" si="93"/>
        <v>0</v>
      </c>
      <c r="BI70" s="119">
        <f t="shared" si="93"/>
        <v>0</v>
      </c>
      <c r="BJ70" s="119">
        <f t="shared" si="93"/>
        <v>116807</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128602</v>
      </c>
      <c r="BQ70" s="119">
        <f t="shared" si="94"/>
        <v>0</v>
      </c>
      <c r="BR70" s="119">
        <f t="shared" si="94"/>
        <v>0</v>
      </c>
      <c r="BS70" s="119">
        <f t="shared" si="94"/>
        <v>0</v>
      </c>
      <c r="BT70" s="119">
        <f t="shared" si="94"/>
        <v>0</v>
      </c>
      <c r="BU70" s="119">
        <f t="shared" si="94"/>
        <v>0</v>
      </c>
      <c r="BV70" s="119">
        <f t="shared" si="94"/>
        <v>140397</v>
      </c>
      <c r="BW70" s="119">
        <f t="shared" si="94"/>
        <v>0</v>
      </c>
      <c r="BX70" s="119">
        <f t="shared" si="94"/>
        <v>0</v>
      </c>
      <c r="BY70" s="119">
        <f t="shared" si="94"/>
        <v>0</v>
      </c>
      <c r="BZ70" s="119">
        <f t="shared" si="94"/>
        <v>0</v>
      </c>
      <c r="CA70" s="119">
        <f t="shared" si="94"/>
        <v>0</v>
      </c>
      <c r="CB70" s="119">
        <f t="shared" si="94"/>
        <v>152191</v>
      </c>
      <c r="CC70" s="119">
        <f t="shared" si="94"/>
        <v>0</v>
      </c>
      <c r="CD70" s="119">
        <f t="shared" si="94"/>
        <v>0</v>
      </c>
      <c r="CE70" s="119">
        <f t="shared" si="94"/>
        <v>0</v>
      </c>
      <c r="CF70" s="119">
        <f t="shared" si="94"/>
        <v>0</v>
      </c>
      <c r="CG70" s="119">
        <f t="shared" si="94"/>
        <v>0</v>
      </c>
      <c r="CH70" s="119">
        <f t="shared" si="94"/>
        <v>163986</v>
      </c>
      <c r="CI70" s="119">
        <f t="shared" si="94"/>
        <v>0</v>
      </c>
      <c r="CJ70" s="119">
        <f t="shared" si="94"/>
        <v>0</v>
      </c>
      <c r="CK70" s="119">
        <f t="shared" si="94"/>
        <v>0</v>
      </c>
      <c r="CL70" s="119">
        <f t="shared" si="94"/>
        <v>0</v>
      </c>
      <c r="CM70" s="119">
        <f t="shared" si="94"/>
        <v>0</v>
      </c>
      <c r="CN70" s="119">
        <f t="shared" si="94"/>
        <v>175781</v>
      </c>
      <c r="CO70" s="119">
        <f t="shared" si="94"/>
        <v>0</v>
      </c>
      <c r="CP70" s="119">
        <f t="shared" si="94"/>
        <v>0</v>
      </c>
      <c r="CQ70" s="119">
        <f t="shared" si="94"/>
        <v>0</v>
      </c>
      <c r="CR70" s="119">
        <f t="shared" si="94"/>
        <v>0</v>
      </c>
      <c r="CS70" s="119">
        <f t="shared" si="94"/>
        <v>0</v>
      </c>
      <c r="CT70" s="119">
        <f t="shared" si="94"/>
        <v>187575</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3">
      <c r="A71" s="116" t="s">
        <v>146</v>
      </c>
      <c r="B71" s="112"/>
      <c r="C71" s="119">
        <f t="shared" ref="C71:AH71" si="96">ROUNDDOWN((IF(C69&lt;&gt;"NA",MIN(YEARFRAC(C9,C10,3)*365-INT(DATEDIF(DATE(YEAR(C9),MONTH(C9),DAY(C9)),DATE(YEAR(C9),12,31),"D")),365)/(YEARFRAC(C9,C10,3)*365),0))*C61,0)</f>
        <v>82858</v>
      </c>
      <c r="D71" s="119">
        <f t="shared" si="96"/>
        <v>113718</v>
      </c>
      <c r="E71" s="119">
        <f t="shared" si="96"/>
        <v>0</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3">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3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3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3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3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3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3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3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3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3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3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3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3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3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3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3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3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3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3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3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3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3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3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3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3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3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3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3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3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3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3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3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3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3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3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3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3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3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3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3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3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3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3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3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3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3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3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3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3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3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3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3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3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3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3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3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3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3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3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3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3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3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3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3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3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3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3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3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3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3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3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3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3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3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3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3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3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3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3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3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3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3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3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3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3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3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3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3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3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3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3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3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35">
      <c r="A164" s="126"/>
      <c r="CY164" s="149"/>
      <c r="CZ164" s="125"/>
    </row>
    <row r="165" spans="1:104" x14ac:dyDescent="0.3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xr:uid="{8FA4B66F-C15B-404B-8719-EB31CE850F5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xr:uid="{2A8879DB-2C74-4250-84B9-2D6EFBBFD709}"/>
    <dataValidation allowBlank="1" showErrorMessage="1" promptTitle="Notas" prompt="Ingresar la fecha de entrega del reporte de monitoreo y la hoja de calculo. (mm/dd/aa)" sqref="A11" xr:uid="{A2A536BA-6699-4D39-BB3A-776A647430D7}"/>
    <dataValidation allowBlank="1" showErrorMessage="1" promptTitle="Notas" prompt="Fecha de Inicio del proyecto. Es la fecha cuando comienzan las actividades del proyecto, la cual no podrá ser mas de seis meses antes de la fecha  cuando se somete  el proyecto. (mm/dd/aa)" sqref="A8 A5" xr:uid="{B743C760-437E-4E4A-B950-AB137CDEC7B8}"/>
    <dataValidation allowBlank="1" showErrorMessage="1" sqref="A9" xr:uid="{354B1EF0-FD3A-4F07-9ED1-9853BEAAD2B4}"/>
    <dataValidation type="list" allowBlank="1" showInputMessage="1" showErrorMessage="1" sqref="C32" xr:uid="{0743A6E9-6FD0-479F-8E40-B7DE7B67A640}">
      <formula1>"184,195"</formula1>
    </dataValidation>
    <dataValidation type="list" allowBlank="1" showInputMessage="1" showErrorMessage="1" sqref="C34" xr:uid="{294FE94B-8A17-4E99-A98F-A2F75EFEAC60}">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D0AA-C1E2-4C8B-8C64-76210C6C357B}">
  <sheetPr codeName="Sheet3"/>
  <dimension ref="A1:B17"/>
  <sheetViews>
    <sheetView workbookViewId="0">
      <selection activeCell="G28" sqref="G28"/>
    </sheetView>
  </sheetViews>
  <sheetFormatPr defaultRowHeight="14.5" x14ac:dyDescent="0.35"/>
  <cols>
    <col min="1" max="1" width="16.81640625" bestFit="1" customWidth="1"/>
  </cols>
  <sheetData>
    <row r="1" spans="1:2" x14ac:dyDescent="0.35">
      <c r="A1" t="s">
        <v>324</v>
      </c>
      <c r="B1" t="s">
        <v>37</v>
      </c>
    </row>
    <row r="2" spans="1:2" x14ac:dyDescent="0.35">
      <c r="A2">
        <v>1</v>
      </c>
      <c r="B2" s="313">
        <v>0.05</v>
      </c>
    </row>
    <row r="3" spans="1:2" x14ac:dyDescent="0.35">
      <c r="A3">
        <v>2</v>
      </c>
      <c r="B3" s="313">
        <v>7.0000000000000007E-2</v>
      </c>
    </row>
    <row r="4" spans="1:2" x14ac:dyDescent="0.35">
      <c r="A4">
        <v>3</v>
      </c>
      <c r="B4" s="313">
        <v>0.08</v>
      </c>
    </row>
    <row r="5" spans="1:2" x14ac:dyDescent="0.35">
      <c r="A5">
        <v>4</v>
      </c>
      <c r="B5" s="313">
        <v>0.09</v>
      </c>
    </row>
    <row r="6" spans="1:2" x14ac:dyDescent="0.35">
      <c r="A6">
        <v>5</v>
      </c>
      <c r="B6" s="313">
        <v>0.1</v>
      </c>
    </row>
    <row r="7" spans="1:2" x14ac:dyDescent="0.35">
      <c r="A7">
        <v>6</v>
      </c>
      <c r="B7" s="313">
        <v>0.114</v>
      </c>
    </row>
    <row r="8" spans="1:2" x14ac:dyDescent="0.35">
      <c r="A8">
        <v>7</v>
      </c>
      <c r="B8" s="313">
        <v>0.1232</v>
      </c>
    </row>
    <row r="9" spans="1:2" x14ac:dyDescent="0.35">
      <c r="A9">
        <v>8</v>
      </c>
      <c r="B9" s="313">
        <v>0.13400000000000001</v>
      </c>
    </row>
    <row r="10" spans="1:2" x14ac:dyDescent="0.35">
      <c r="A10">
        <v>9</v>
      </c>
      <c r="B10" s="313">
        <v>0.14000000000000001</v>
      </c>
    </row>
    <row r="11" spans="1:2" x14ac:dyDescent="0.35">
      <c r="A11">
        <v>10</v>
      </c>
      <c r="B11" s="313">
        <v>0.15</v>
      </c>
    </row>
    <row r="12" spans="1:2" x14ac:dyDescent="0.35">
      <c r="A12">
        <v>11</v>
      </c>
      <c r="B12" s="313">
        <v>0.16</v>
      </c>
    </row>
    <row r="13" spans="1:2" x14ac:dyDescent="0.35">
      <c r="A13">
        <v>12</v>
      </c>
      <c r="B13" s="313">
        <v>0.17</v>
      </c>
    </row>
    <row r="14" spans="1:2" x14ac:dyDescent="0.35">
      <c r="A14">
        <v>13</v>
      </c>
      <c r="B14" s="313">
        <v>0.18</v>
      </c>
    </row>
    <row r="15" spans="1:2" x14ac:dyDescent="0.35">
      <c r="A15">
        <v>14</v>
      </c>
      <c r="B15" s="313">
        <v>0.19</v>
      </c>
    </row>
    <row r="16" spans="1:2" x14ac:dyDescent="0.35">
      <c r="A16">
        <f>15</f>
        <v>15</v>
      </c>
      <c r="B16" s="313">
        <v>0.2</v>
      </c>
    </row>
    <row r="17" spans="1:2" x14ac:dyDescent="0.35">
      <c r="A17" t="s">
        <v>325</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CE28-0392-40CF-9BDF-A3772299DFCB}">
  <sheetPr codeName="Sheet4"/>
  <dimension ref="A1:CX122"/>
  <sheetViews>
    <sheetView zoomScale="90" zoomScaleNormal="120" workbookViewId="0">
      <selection activeCell="C28" sqref="C28"/>
    </sheetView>
  </sheetViews>
  <sheetFormatPr defaultRowHeight="14.5" x14ac:dyDescent="0.35"/>
  <cols>
    <col min="1" max="1" width="16.1796875" bestFit="1" customWidth="1"/>
    <col min="6" max="6" width="8.7265625" bestFit="1" customWidth="1"/>
  </cols>
  <sheetData>
    <row r="1" spans="2:13" x14ac:dyDescent="0.35">
      <c r="B1" t="s">
        <v>148</v>
      </c>
      <c r="G1" s="265"/>
    </row>
    <row r="2" spans="2:13" x14ac:dyDescent="0.35">
      <c r="B2">
        <v>0.01</v>
      </c>
      <c r="G2" s="265"/>
      <c r="M2" s="265"/>
    </row>
    <row r="3" spans="2:13" hidden="1" x14ac:dyDescent="0.35"/>
    <row r="4" spans="2:13" hidden="1" x14ac:dyDescent="0.35"/>
    <row r="5" spans="2:13" hidden="1" x14ac:dyDescent="0.35"/>
    <row r="6" spans="2:13" hidden="1" x14ac:dyDescent="0.35"/>
    <row r="7" spans="2:13" hidden="1" x14ac:dyDescent="0.35"/>
    <row r="8" spans="2:13" hidden="1" x14ac:dyDescent="0.35"/>
    <row r="9" spans="2:13" hidden="1" x14ac:dyDescent="0.35"/>
    <row r="10" spans="2:13" hidden="1" x14ac:dyDescent="0.35"/>
    <row r="11" spans="2:13" hidden="1" x14ac:dyDescent="0.35"/>
    <row r="12" spans="2:13" hidden="1" x14ac:dyDescent="0.35"/>
    <row r="13" spans="2:13" hidden="1" x14ac:dyDescent="0.35"/>
    <row r="14" spans="2:13" hidden="1" x14ac:dyDescent="0.35"/>
    <row r="15" spans="2:13" hidden="1" x14ac:dyDescent="0.35"/>
    <row r="16" spans="2:13" hidden="1" x14ac:dyDescent="0.35"/>
    <row r="17" spans="1:101" hidden="1" x14ac:dyDescent="0.35"/>
    <row r="18" spans="1:101" ht="58" x14ac:dyDescent="0.35">
      <c r="A18" s="306" t="s">
        <v>102</v>
      </c>
      <c r="B18">
        <f>'Hoja De Calculo'!C44</f>
        <v>100</v>
      </c>
      <c r="C18">
        <f>'Hoja De Calculo'!D44</f>
        <v>100</v>
      </c>
      <c r="D18">
        <f>'Hoja De Calculo'!E44</f>
        <v>0</v>
      </c>
      <c r="E18">
        <f>'Hoja De Calculo'!F44</f>
        <v>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3.5" x14ac:dyDescent="0.35">
      <c r="A19" s="306" t="s">
        <v>105</v>
      </c>
      <c r="B19">
        <f>'Hoja De Calculo'!C45</f>
        <v>100</v>
      </c>
      <c r="C19">
        <f>'Hoja De Calculo'!D45</f>
        <v>100</v>
      </c>
      <c r="D19">
        <f>'Hoja De Calculo'!E45</f>
        <v>99</v>
      </c>
      <c r="E19">
        <f>'Hoja De Calculo'!F45</f>
        <v>98</v>
      </c>
      <c r="F19">
        <f>'Hoja De Calculo'!G45</f>
        <v>97</v>
      </c>
      <c r="G19">
        <f>'Hoja De Calculo'!H45</f>
        <v>96</v>
      </c>
      <c r="H19">
        <f>'Hoja De Calculo'!I45</f>
        <v>95</v>
      </c>
      <c r="I19">
        <f>'Hoja De Calculo'!J45</f>
        <v>94</v>
      </c>
      <c r="J19">
        <f>'Hoja De Calculo'!K45</f>
        <v>93</v>
      </c>
      <c r="K19">
        <f>'Hoja De Calculo'!L45</f>
        <v>92</v>
      </c>
      <c r="L19">
        <f>'Hoja De Calculo'!M45</f>
        <v>91</v>
      </c>
      <c r="M19">
        <f>'Hoja De Calculo'!N45</f>
        <v>90</v>
      </c>
      <c r="N19">
        <f>'Hoja De Calculo'!O45</f>
        <v>89</v>
      </c>
      <c r="O19">
        <f>'Hoja De Calculo'!P45</f>
        <v>88</v>
      </c>
      <c r="P19">
        <f>'Hoja De Calculo'!Q45</f>
        <v>87</v>
      </c>
      <c r="Q19">
        <f>'Hoja De Calculo'!R45</f>
        <v>86</v>
      </c>
      <c r="R19">
        <f>'Hoja De Calculo'!S45</f>
        <v>85</v>
      </c>
      <c r="S19">
        <f>'Hoja De Calculo'!T45</f>
        <v>84</v>
      </c>
      <c r="T19">
        <f>'Hoja De Calculo'!U45</f>
        <v>83</v>
      </c>
      <c r="U19">
        <f>'Hoja De Calculo'!V45</f>
        <v>82</v>
      </c>
      <c r="V19">
        <f>'Hoja De Calculo'!W45</f>
        <v>81</v>
      </c>
      <c r="W19">
        <f>'Hoja De Calculo'!X45</f>
        <v>80</v>
      </c>
      <c r="X19">
        <f>'Hoja De Calculo'!Y45</f>
        <v>79</v>
      </c>
      <c r="Y19">
        <f>'Hoja De Calculo'!Z45</f>
        <v>78</v>
      </c>
      <c r="Z19">
        <f>'Hoja De Calculo'!AA45</f>
        <v>77</v>
      </c>
      <c r="AA19">
        <f>'Hoja De Calculo'!AB45</f>
        <v>76</v>
      </c>
      <c r="AB19">
        <f>'Hoja De Calculo'!AC45</f>
        <v>75</v>
      </c>
      <c r="AC19">
        <f>'Hoja De Calculo'!AD45</f>
        <v>74</v>
      </c>
      <c r="AD19">
        <f>'Hoja De Calculo'!AE45</f>
        <v>73</v>
      </c>
      <c r="AE19">
        <f>'Hoja De Calculo'!AF45</f>
        <v>72</v>
      </c>
      <c r="AF19">
        <f>'Hoja De Calculo'!AG45</f>
        <v>71</v>
      </c>
      <c r="AG19">
        <f>'Hoja De Calculo'!AH45</f>
        <v>70</v>
      </c>
      <c r="AH19">
        <f>'Hoja De Calculo'!AI45</f>
        <v>69</v>
      </c>
      <c r="AI19">
        <f>'Hoja De Calculo'!AJ45</f>
        <v>68</v>
      </c>
      <c r="AJ19">
        <f>'Hoja De Calculo'!AK45</f>
        <v>67</v>
      </c>
      <c r="AK19">
        <f>'Hoja De Calculo'!AL45</f>
        <v>66</v>
      </c>
      <c r="AL19">
        <f>'Hoja De Calculo'!AM45</f>
        <v>65</v>
      </c>
      <c r="AM19">
        <f>'Hoja De Calculo'!AN45</f>
        <v>64</v>
      </c>
      <c r="AN19">
        <f>'Hoja De Calculo'!AO45</f>
        <v>63</v>
      </c>
      <c r="AO19">
        <f>'Hoja De Calculo'!AP45</f>
        <v>62</v>
      </c>
      <c r="AP19">
        <f>'Hoja De Calculo'!AQ45</f>
        <v>61</v>
      </c>
      <c r="AQ19">
        <f>'Hoja De Calculo'!AR45</f>
        <v>60</v>
      </c>
      <c r="AR19">
        <f>'Hoja De Calculo'!AS45</f>
        <v>59</v>
      </c>
      <c r="AS19">
        <f>'Hoja De Calculo'!AT45</f>
        <v>58</v>
      </c>
      <c r="AT19">
        <f>'Hoja De Calculo'!AU45</f>
        <v>57</v>
      </c>
      <c r="AU19">
        <f>'Hoja De Calculo'!AV45</f>
        <v>56</v>
      </c>
      <c r="AV19">
        <f>'Hoja De Calculo'!AW45</f>
        <v>55</v>
      </c>
      <c r="AW19">
        <f>'Hoja De Calculo'!AX45</f>
        <v>54</v>
      </c>
      <c r="AX19">
        <f>'Hoja De Calculo'!AY45</f>
        <v>53</v>
      </c>
      <c r="AY19">
        <f>'Hoja De Calculo'!AZ45</f>
        <v>52</v>
      </c>
      <c r="AZ19">
        <f>'Hoja De Calculo'!BA45</f>
        <v>51</v>
      </c>
      <c r="BA19">
        <f>'Hoja De Calculo'!BB45</f>
        <v>50</v>
      </c>
      <c r="BB19">
        <f>'Hoja De Calculo'!BC45</f>
        <v>49</v>
      </c>
      <c r="BC19">
        <f>'Hoja De Calculo'!BD45</f>
        <v>48</v>
      </c>
      <c r="BD19">
        <f>'Hoja De Calculo'!BE45</f>
        <v>47</v>
      </c>
      <c r="BE19">
        <f>'Hoja De Calculo'!BF45</f>
        <v>46</v>
      </c>
      <c r="BF19">
        <f>'Hoja De Calculo'!BG45</f>
        <v>45</v>
      </c>
      <c r="BG19">
        <f>'Hoja De Calculo'!BH45</f>
        <v>44</v>
      </c>
      <c r="BH19">
        <f>'Hoja De Calculo'!BI45</f>
        <v>43</v>
      </c>
      <c r="BI19">
        <f>'Hoja De Calculo'!BJ45</f>
        <v>42</v>
      </c>
      <c r="BJ19">
        <f>'Hoja De Calculo'!BK45</f>
        <v>41</v>
      </c>
      <c r="BK19">
        <f>'Hoja De Calculo'!BL45</f>
        <v>40</v>
      </c>
      <c r="BL19">
        <f>'Hoja De Calculo'!BM45</f>
        <v>39</v>
      </c>
      <c r="BM19">
        <f>'Hoja De Calculo'!BN45</f>
        <v>38</v>
      </c>
      <c r="BN19">
        <f>'Hoja De Calculo'!BO45</f>
        <v>37</v>
      </c>
      <c r="BO19">
        <f>'Hoja De Calculo'!BP45</f>
        <v>36</v>
      </c>
      <c r="BP19">
        <f>'Hoja De Calculo'!BQ45</f>
        <v>35</v>
      </c>
      <c r="BQ19">
        <f>'Hoja De Calculo'!BR45</f>
        <v>34</v>
      </c>
      <c r="BR19">
        <f>'Hoja De Calculo'!BS45</f>
        <v>33</v>
      </c>
      <c r="BS19">
        <f>'Hoja De Calculo'!BT45</f>
        <v>32</v>
      </c>
      <c r="BT19">
        <f>'Hoja De Calculo'!BU45</f>
        <v>31</v>
      </c>
      <c r="BU19">
        <f>'Hoja De Calculo'!BV45</f>
        <v>30</v>
      </c>
      <c r="BV19">
        <f>'Hoja De Calculo'!BW45</f>
        <v>29</v>
      </c>
      <c r="BW19">
        <f>'Hoja De Calculo'!BX45</f>
        <v>28</v>
      </c>
      <c r="BX19">
        <f>'Hoja De Calculo'!BY45</f>
        <v>27</v>
      </c>
      <c r="BY19">
        <f>'Hoja De Calculo'!BZ45</f>
        <v>26</v>
      </c>
      <c r="BZ19">
        <f>'Hoja De Calculo'!CA45</f>
        <v>25</v>
      </c>
      <c r="CA19">
        <f>'Hoja De Calculo'!CB45</f>
        <v>24</v>
      </c>
      <c r="CB19">
        <f>'Hoja De Calculo'!CC45</f>
        <v>23</v>
      </c>
      <c r="CC19">
        <f>'Hoja De Calculo'!CD45</f>
        <v>22</v>
      </c>
      <c r="CD19">
        <f>'Hoja De Calculo'!CE45</f>
        <v>21</v>
      </c>
      <c r="CE19">
        <f>'Hoja De Calculo'!CF45</f>
        <v>20</v>
      </c>
      <c r="CF19">
        <f>'Hoja De Calculo'!CG45</f>
        <v>19</v>
      </c>
      <c r="CG19">
        <f>'Hoja De Calculo'!CH45</f>
        <v>18</v>
      </c>
      <c r="CH19">
        <f>'Hoja De Calculo'!CI45</f>
        <v>17</v>
      </c>
      <c r="CI19">
        <f>'Hoja De Calculo'!CJ45</f>
        <v>16</v>
      </c>
      <c r="CJ19">
        <f>'Hoja De Calculo'!CK45</f>
        <v>15</v>
      </c>
      <c r="CK19">
        <f>'Hoja De Calculo'!CL45</f>
        <v>14</v>
      </c>
      <c r="CL19">
        <f>'Hoja De Calculo'!CM45</f>
        <v>13</v>
      </c>
      <c r="CM19">
        <f>'Hoja De Calculo'!CN45</f>
        <v>12</v>
      </c>
      <c r="CN19">
        <f>'Hoja De Calculo'!CO45</f>
        <v>11</v>
      </c>
      <c r="CO19">
        <f>'Hoja De Calculo'!CP45</f>
        <v>10</v>
      </c>
      <c r="CP19">
        <f>'Hoja De Calculo'!CQ45</f>
        <v>9</v>
      </c>
      <c r="CQ19">
        <f>'Hoja De Calculo'!CR45</f>
        <v>8</v>
      </c>
      <c r="CR19">
        <f>'Hoja De Calculo'!CS45</f>
        <v>7</v>
      </c>
      <c r="CS19">
        <f>'Hoja De Calculo'!CT45</f>
        <v>6</v>
      </c>
      <c r="CT19">
        <f>'Hoja De Calculo'!CU45</f>
        <v>5</v>
      </c>
      <c r="CU19">
        <f>'Hoja De Calculo'!CV45</f>
        <v>4</v>
      </c>
      <c r="CV19">
        <f>'Hoja De Calculo'!CW45</f>
        <v>3</v>
      </c>
      <c r="CW19">
        <f>'Hoja De Calculo'!CX45</f>
        <v>2</v>
      </c>
    </row>
    <row r="20" spans="1:101" x14ac:dyDescent="0.35">
      <c r="A20" t="s">
        <v>149</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35">
      <c r="B21" s="266">
        <f>'Hoja De Calculo'!C41</f>
        <v>294484</v>
      </c>
      <c r="C21" s="266">
        <f>'Hoja De Calculo'!D41</f>
        <v>404162</v>
      </c>
      <c r="D21" s="266">
        <f>'Hoja De Calculo'!E41</f>
        <v>0</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35">
      <c r="A22" t="s">
        <v>150</v>
      </c>
      <c r="B22" s="267">
        <f>IF(B18&lt;100,$B$21*$B$2*(B18+1),$B$21*$B$2*(B18))</f>
        <v>294484</v>
      </c>
      <c r="C22" s="267">
        <f>IF('Hoja De Calculo'!D13&gt;='Hoja De Calculo'!C13,IF(C18=100,($B$21*C18*$B$2)-SUM($B$22:B22),IF(C18&gt;B19,((C18-B19+1)*$B$2*$B$21),IF(C18&gt;=B19,$B$21*$B$2))),0)</f>
        <v>0</v>
      </c>
      <c r="D22" s="267">
        <f>IF('Hoja De Calculo'!E13&gt;='Hoja De Calculo'!D13,IF(D18=100,($B$21*D18*$B$2)-SUM($B$22:C22),IF(D18&gt;C19,((D18-C19+1)*$B$2*$B$21),IF(D18&gt;=C19,$B$21*$B$2))),0)</f>
        <v>0</v>
      </c>
      <c r="E22" s="267" t="b">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35">
      <c r="A23" t="s">
        <v>151</v>
      </c>
      <c r="B23" s="273"/>
      <c r="C23" s="274">
        <f>($C$21*$B$2*(C19+(IF(C19=100,0,1))))</f>
        <v>404162</v>
      </c>
      <c r="D23" s="274">
        <f>IF('Hoja De Calculo'!E13&gt;='Hoja De Calculo'!D13,IF(D18=100,($C$21*D18*$B$2)-SUM($C$23:C23),IF(D18&gt;C19,((D18-C19+1)*$B$2*$C$21),IF(D18&gt;=C19,$C$21*$B$2))),0)</f>
        <v>0</v>
      </c>
      <c r="E23" s="274" t="b">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35">
      <c r="A24" t="s">
        <v>152</v>
      </c>
      <c r="B24" s="273"/>
      <c r="C24" s="280"/>
      <c r="D24" s="281">
        <f>($D$21*$B$2*(D19+(IF(D19=100,0,1))))</f>
        <v>0</v>
      </c>
      <c r="E24" s="281" t="b">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35">
      <c r="A25" t="s">
        <v>153</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35">
      <c r="A26" t="s">
        <v>154</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35">
      <c r="A27" t="s">
        <v>155</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35">
      <c r="A28" t="s">
        <v>156</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35">
      <c r="A29" t="s">
        <v>157</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35">
      <c r="A30" t="s">
        <v>158</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35">
      <c r="A31" t="s">
        <v>159</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35">
      <c r="A32" t="s">
        <v>160</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35">
      <c r="A33" t="s">
        <v>161</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35">
      <c r="A34" t="s">
        <v>162</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35">
      <c r="A35" t="s">
        <v>163</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35">
      <c r="A36" t="s">
        <v>164</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35">
      <c r="A37" t="s">
        <v>165</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35">
      <c r="A38" t="s">
        <v>166</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35">
      <c r="A39" t="s">
        <v>167</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35">
      <c r="A40" t="s">
        <v>168</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35">
      <c r="A41" t="s">
        <v>169</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35">
      <c r="A42" t="s">
        <v>170</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35">
      <c r="A43" t="s">
        <v>171</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35">
      <c r="A44" t="s">
        <v>172</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35">
      <c r="A45" t="s">
        <v>173</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35">
      <c r="A46" t="s">
        <v>174</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35">
      <c r="A47" t="s">
        <v>175</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35">
      <c r="A48" t="s">
        <v>176</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35">
      <c r="A49" t="s">
        <v>177</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35">
      <c r="A50" t="s">
        <v>178</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35">
      <c r="A51" t="s">
        <v>179</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35">
      <c r="A52" t="s">
        <v>180</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35">
      <c r="A53" t="s">
        <v>181</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35">
      <c r="A54" t="s">
        <v>182</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35">
      <c r="A55" t="s">
        <v>183</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35">
      <c r="A56" t="s">
        <v>184</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35">
      <c r="A57" t="s">
        <v>185</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35">
      <c r="A58" t="s">
        <v>186</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35">
      <c r="A59" t="s">
        <v>187</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35">
      <c r="A60" t="s">
        <v>188</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35">
      <c r="A61" t="s">
        <v>189</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35">
      <c r="A62" t="s">
        <v>190</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35">
      <c r="A63" t="s">
        <v>191</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35">
      <c r="A64" t="s">
        <v>192</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35">
      <c r="A65" t="s">
        <v>193</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35">
      <c r="A66" t="s">
        <v>194</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35">
      <c r="A67" t="s">
        <v>195</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35">
      <c r="A68" t="s">
        <v>196</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35">
      <c r="A69" t="s">
        <v>197</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35">
      <c r="A70" t="s">
        <v>198</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35">
      <c r="A71" t="s">
        <v>199</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35">
      <c r="A72" t="s">
        <v>200</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35">
      <c r="A73" t="s">
        <v>201</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35">
      <c r="A74" t="s">
        <v>202</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35">
      <c r="A75" t="s">
        <v>203</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35">
      <c r="A76" t="s">
        <v>204</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35">
      <c r="A77" t="s">
        <v>205</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35">
      <c r="A78" t="s">
        <v>206</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35">
      <c r="A79" t="s">
        <v>207</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35">
      <c r="A80" t="s">
        <v>208</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35">
      <c r="A81" t="s">
        <v>209</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35">
      <c r="A82" t="s">
        <v>210</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35">
      <c r="A83" t="s">
        <v>211</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35">
      <c r="A84" t="s">
        <v>212</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35">
      <c r="A85" t="s">
        <v>213</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35">
      <c r="A86" t="s">
        <v>214</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35">
      <c r="A87" t="s">
        <v>215</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35">
      <c r="A88" t="s">
        <v>216</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35">
      <c r="A89" t="s">
        <v>217</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35">
      <c r="A90" t="s">
        <v>218</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35">
      <c r="A91" t="s">
        <v>219</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35">
      <c r="A92" t="s">
        <v>220</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35">
      <c r="A93" t="s">
        <v>221</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35">
      <c r="A94" t="s">
        <v>222</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35">
      <c r="A95" t="s">
        <v>223</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35">
      <c r="A96" t="s">
        <v>224</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35">
      <c r="A97" t="s">
        <v>225</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35">
      <c r="A98" t="s">
        <v>226</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35">
      <c r="A99" t="s">
        <v>227</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35">
      <c r="A100" t="s">
        <v>228</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35">
      <c r="A101" t="s">
        <v>229</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35">
      <c r="A102" t="s">
        <v>230</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35">
      <c r="A103" t="s">
        <v>231</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35">
      <c r="A104" t="s">
        <v>232</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35">
      <c r="A105" t="s">
        <v>233</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35">
      <c r="A106" t="s">
        <v>234</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35">
      <c r="A107" t="s">
        <v>235</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35">
      <c r="A108" t="s">
        <v>236</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35">
      <c r="A109" t="s">
        <v>237</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35">
      <c r="A110" t="s">
        <v>238</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35">
      <c r="A111" t="s">
        <v>239</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35">
      <c r="A112" t="s">
        <v>240</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35">
      <c r="A113" t="s">
        <v>241</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35">
      <c r="A114" t="s">
        <v>242</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35">
      <c r="A115" t="s">
        <v>243</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35">
      <c r="A116" t="s">
        <v>244</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35">
      <c r="A117" t="s">
        <v>245</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35">
      <c r="A118" t="s">
        <v>246</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35">
      <c r="A119" t="s">
        <v>247</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35">
      <c r="A120" t="s">
        <v>248</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35">
      <c r="A121" t="s">
        <v>249</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3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B02C-5BAF-4DB0-805B-10AADA3B4096}">
  <sheetPr codeName="Sheet5"/>
  <dimension ref="D7:BD10"/>
  <sheetViews>
    <sheetView workbookViewId="0"/>
  </sheetViews>
  <sheetFormatPr defaultRowHeight="14.5" x14ac:dyDescent="0.35"/>
  <cols>
    <col min="4" max="12" width="2" bestFit="1" customWidth="1"/>
    <col min="13" max="56" width="3" bestFit="1" customWidth="1"/>
  </cols>
  <sheetData>
    <row r="7" spans="4:56" x14ac:dyDescent="0.3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3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3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3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3DD8-F8D7-444F-B45A-CF3B970A942F}">
  <sheetPr codeName="Sheet6">
    <tabColor theme="3" tint="0.59999389629810485"/>
  </sheetPr>
  <dimension ref="A1:N44"/>
  <sheetViews>
    <sheetView zoomScale="78" zoomScaleNormal="100" workbookViewId="0">
      <selection activeCell="C19" sqref="C19"/>
    </sheetView>
  </sheetViews>
  <sheetFormatPr defaultColWidth="8.7265625" defaultRowHeight="14.5" x14ac:dyDescent="0.35"/>
  <cols>
    <col min="1" max="1" width="44.54296875" style="238" bestFit="1" customWidth="1"/>
    <col min="2" max="2" width="58.81640625" style="238" customWidth="1"/>
    <col min="3" max="3" width="47.26953125" style="238" customWidth="1"/>
    <col min="4" max="4" width="43.453125" style="238" customWidth="1"/>
    <col min="5" max="7" width="8.7265625" style="238" customWidth="1"/>
    <col min="8" max="8" width="14.26953125" style="238" customWidth="1"/>
    <col min="9" max="9" width="8.7265625" style="238" customWidth="1"/>
    <col min="10" max="10" width="112.7265625" style="238" hidden="1" customWidth="1"/>
    <col min="11" max="11" width="14.81640625" style="238" hidden="1" customWidth="1"/>
    <col min="12" max="12" width="16.1796875" style="238" hidden="1" customWidth="1"/>
    <col min="13" max="13" width="23.26953125" style="238" hidden="1" customWidth="1"/>
    <col min="14" max="16384" width="8.7265625" style="238"/>
  </cols>
  <sheetData>
    <row r="1" spans="1:11" x14ac:dyDescent="0.35">
      <c r="A1" s="241" t="s">
        <v>250</v>
      </c>
    </row>
    <row r="2" spans="1:11" x14ac:dyDescent="0.35">
      <c r="A2" s="239" t="s">
        <v>251</v>
      </c>
    </row>
    <row r="4" spans="1:11" x14ac:dyDescent="0.35">
      <c r="A4" s="346" t="s">
        <v>252</v>
      </c>
      <c r="B4" s="346"/>
      <c r="C4" s="254"/>
    </row>
    <row r="5" spans="1:11" x14ac:dyDescent="0.35">
      <c r="A5" s="257" t="s">
        <v>253</v>
      </c>
      <c r="B5" s="262" t="s">
        <v>276</v>
      </c>
      <c r="D5" s="344"/>
      <c r="E5" s="344"/>
      <c r="F5" s="344"/>
      <c r="G5" s="344"/>
      <c r="H5" s="344"/>
      <c r="I5" s="240"/>
      <c r="J5" s="240"/>
      <c r="K5" s="240"/>
    </row>
    <row r="6" spans="1:11" x14ac:dyDescent="0.35">
      <c r="A6" s="257" t="s">
        <v>255</v>
      </c>
      <c r="B6" s="262">
        <v>100</v>
      </c>
      <c r="I6" s="240"/>
      <c r="J6" s="240"/>
      <c r="K6" s="240"/>
    </row>
    <row r="7" spans="1:11" x14ac:dyDescent="0.35">
      <c r="A7" s="243"/>
      <c r="I7" s="240"/>
      <c r="J7" s="240"/>
      <c r="K7" s="240"/>
    </row>
    <row r="8" spans="1:11" ht="13.5" customHeight="1" x14ac:dyDescent="0.35">
      <c r="A8" s="264"/>
      <c r="B8" s="263" t="s">
        <v>256</v>
      </c>
      <c r="C8" s="261" t="s">
        <v>257</v>
      </c>
      <c r="I8" s="240"/>
      <c r="J8" s="240"/>
      <c r="K8" s="240"/>
    </row>
    <row r="9" spans="1:11" ht="27" customHeight="1" x14ac:dyDescent="0.35">
      <c r="A9" s="259" t="s">
        <v>258</v>
      </c>
      <c r="B9" s="260" t="s">
        <v>278</v>
      </c>
      <c r="C9" s="309">
        <f>IF(B9="","",VLOOKUP(B9,J17:M43,(IF($B$5=$K$17,2,IF($B$5=$L$17,3,IF($B$5=$M$17,4,"Favor de seleccionar el tipo de propiedad")))),FALSE))</f>
        <v>0.04</v>
      </c>
      <c r="D9" s="345"/>
      <c r="E9" s="345"/>
      <c r="F9" s="345"/>
      <c r="G9" s="345"/>
      <c r="H9" s="345"/>
      <c r="J9" s="240"/>
      <c r="K9" s="240"/>
    </row>
    <row r="10" spans="1:11" ht="27" customHeight="1" x14ac:dyDescent="0.35">
      <c r="A10" s="257" t="s">
        <v>260</v>
      </c>
      <c r="B10" s="258" t="s">
        <v>279</v>
      </c>
      <c r="C10" s="310">
        <f>IF(B10="","",VLOOKUP(B10,J18:M44,(IF($B$5=$K$17,2,IF($B$5=$L$17,3,IF($B$5=$M$17,4,"Favor de seleccionar el tipo de propiedad")))),FALSE))</f>
        <v>0.02</v>
      </c>
      <c r="I10" s="240"/>
      <c r="J10" s="240"/>
    </row>
    <row r="11" spans="1:11" ht="27" customHeight="1" x14ac:dyDescent="0.35">
      <c r="A11" s="257" t="s">
        <v>262</v>
      </c>
      <c r="B11" s="258" t="s">
        <v>281</v>
      </c>
      <c r="C11" s="310">
        <f>IF(B11="","",VLOOKUP(B11,J19:M45,(IF($B$5=$K$17,2,IF($B$5=$L$17,3,IF($B$5=$M$17,4,"Favor de seleccionar el tipo de propiedad")))),FALSE))</f>
        <v>0.06</v>
      </c>
      <c r="J11" s="240"/>
      <c r="K11" s="240"/>
    </row>
    <row r="12" spans="1:11" ht="27" customHeight="1" x14ac:dyDescent="0.35">
      <c r="A12" s="257" t="s">
        <v>264</v>
      </c>
      <c r="B12" s="258" t="s">
        <v>265</v>
      </c>
      <c r="C12" s="310">
        <f>IF(B12="","",VLOOKUP(B12,J21:M46,(IF($B$5=$K$17,2,IF($B$5=$L$17,3,IF($B$5=$M$17,4,"Favor de seleccionar el tipo de propiedad")))),FALSE))</f>
        <v>0.04</v>
      </c>
      <c r="J12" s="240"/>
      <c r="K12" s="240"/>
    </row>
    <row r="13" spans="1:11" ht="27" customHeight="1" x14ac:dyDescent="0.35">
      <c r="A13" s="257" t="s">
        <v>266</v>
      </c>
      <c r="B13" s="258" t="s">
        <v>285</v>
      </c>
      <c r="C13" s="310">
        <f>IF(B13="","",VLOOKUP(B13,J22:M47,(IF($B$5=$K$17,2,IF($B$5=$L$17,3,IF($B$5=$M$17,4,"Favor de seleccionar el tipo de propiedad")))),FALSE))</f>
        <v>0.04</v>
      </c>
      <c r="I13" s="240"/>
      <c r="J13" s="240"/>
      <c r="K13" s="240"/>
    </row>
    <row r="14" spans="1:11" ht="27" customHeight="1" x14ac:dyDescent="0.35">
      <c r="A14" s="257" t="s">
        <v>268</v>
      </c>
      <c r="B14" s="258" t="s">
        <v>329</v>
      </c>
      <c r="C14" s="310">
        <f>IF(B14="","",VLOOKUP(B14,J23:M48,(IF($B$5=$K$17,2,IF($B$5=$L$17,3,IF($B$5=$M$17,4,"Favor de seleccionar el tipo de propiedad")))),FALSE))</f>
        <v>0.04</v>
      </c>
      <c r="J14" s="240"/>
      <c r="K14" s="240"/>
    </row>
    <row r="15" spans="1:11" ht="27" customHeight="1" x14ac:dyDescent="0.35">
      <c r="A15" s="257" t="s">
        <v>270</v>
      </c>
      <c r="B15" s="258" t="s">
        <v>287</v>
      </c>
      <c r="C15" s="310">
        <f>IF(B15="","",VLOOKUP(B15,J24:M49,(IF($B$5=$K$17,2,IF($B$5=$L$17,3,IF($B$5=$M$17,4,"Favor de seleccionar el tipo de propiedad")))),FALSE))</f>
        <v>0.04</v>
      </c>
      <c r="I15" s="240"/>
      <c r="J15" s="240"/>
      <c r="K15" s="240"/>
    </row>
    <row r="16" spans="1:11" ht="27" customHeight="1" x14ac:dyDescent="0.35">
      <c r="A16" s="257" t="s">
        <v>272</v>
      </c>
      <c r="B16" s="258" t="s">
        <v>273</v>
      </c>
      <c r="C16" s="310">
        <f>IF(B16="","",VLOOKUP(B16,J25:M50,(IF($B$5=$K$17,2,IF($B$5=$L$17,3,IF($B$5=$M$17,4,"Favor de seleccionar el tipo de propiedad")))),FALSE))</f>
        <v>0.06</v>
      </c>
      <c r="J16" s="240"/>
    </row>
    <row r="17" spans="1:14" ht="27" customHeight="1" x14ac:dyDescent="0.35">
      <c r="A17" s="348" t="s">
        <v>274</v>
      </c>
      <c r="B17" s="349"/>
      <c r="C17" s="311">
        <f>IFERROR(100%-((1-C9)*(1-C10)*(1-C11)*(1-C12)*(1-C13)*(1-C14)*(1-C15)*(1-C16)),"")</f>
        <v>0.29394595071262741</v>
      </c>
      <c r="J17" s="244"/>
      <c r="K17" s="245" t="s">
        <v>275</v>
      </c>
      <c r="L17" s="245" t="s">
        <v>254</v>
      </c>
      <c r="M17" s="245" t="s">
        <v>276</v>
      </c>
    </row>
    <row r="18" spans="1:14" ht="10.5" customHeight="1" x14ac:dyDescent="0.35">
      <c r="J18" s="246" t="s">
        <v>259</v>
      </c>
      <c r="K18" s="244">
        <v>0.08</v>
      </c>
      <c r="L18" s="244">
        <v>0.06</v>
      </c>
      <c r="M18" s="244">
        <v>0.06</v>
      </c>
    </row>
    <row r="19" spans="1:14" ht="28" customHeight="1" x14ac:dyDescent="0.35">
      <c r="A19" s="347" t="s">
        <v>277</v>
      </c>
      <c r="B19" s="347"/>
      <c r="C19" s="308">
        <f>ROUNDDOWN(IFERROR('Fondo de Aseguramiento'!$C$17*('Fondo de Aseguramiento'!$B$6/100),""),4)</f>
        <v>0.29389999999999999</v>
      </c>
      <c r="D19" s="344"/>
      <c r="E19" s="344"/>
      <c r="F19" s="344"/>
      <c r="G19" s="344"/>
      <c r="H19" s="344"/>
      <c r="I19" s="344"/>
      <c r="J19" s="246" t="s">
        <v>278</v>
      </c>
      <c r="K19" s="247">
        <v>0.06</v>
      </c>
      <c r="L19" s="247">
        <v>0.04</v>
      </c>
      <c r="M19" s="247">
        <v>0.04</v>
      </c>
      <c r="N19" s="242"/>
    </row>
    <row r="20" spans="1:14" ht="30.65" customHeight="1" x14ac:dyDescent="0.3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35">
      <c r="J21" s="249"/>
      <c r="K21" s="250"/>
      <c r="L21" s="250"/>
      <c r="M21" s="251"/>
      <c r="N21" s="242"/>
    </row>
    <row r="22" spans="1:14" x14ac:dyDescent="0.35">
      <c r="D22" s="253"/>
      <c r="E22" s="253"/>
      <c r="F22" s="253"/>
      <c r="G22" s="253"/>
      <c r="J22" s="246" t="s">
        <v>279</v>
      </c>
      <c r="K22" s="247">
        <v>0.02</v>
      </c>
      <c r="L22" s="247">
        <v>0.02</v>
      </c>
      <c r="M22" s="247">
        <v>0.02</v>
      </c>
      <c r="N22" s="242"/>
    </row>
    <row r="23" spans="1:14" x14ac:dyDescent="0.35">
      <c r="J23" s="246" t="s">
        <v>261</v>
      </c>
      <c r="K23" s="247">
        <v>0.04</v>
      </c>
      <c r="L23" s="247">
        <v>0.04</v>
      </c>
      <c r="M23" s="247">
        <v>0.04</v>
      </c>
      <c r="N23" s="242"/>
    </row>
    <row r="24" spans="1:14" x14ac:dyDescent="0.35">
      <c r="J24" s="249"/>
      <c r="K24" s="250"/>
      <c r="L24" s="250"/>
      <c r="M24" s="251"/>
      <c r="N24" s="242"/>
    </row>
    <row r="25" spans="1:14" x14ac:dyDescent="0.35">
      <c r="J25" s="246" t="s">
        <v>263</v>
      </c>
      <c r="K25" s="247">
        <v>0.04</v>
      </c>
      <c r="L25" s="247">
        <v>0.04</v>
      </c>
      <c r="M25" s="247">
        <v>0.04</v>
      </c>
      <c r="N25" s="242"/>
    </row>
    <row r="26" spans="1:14" x14ac:dyDescent="0.35">
      <c r="J26" s="246" t="s">
        <v>281</v>
      </c>
      <c r="K26" s="248" t="s">
        <v>280</v>
      </c>
      <c r="L26" s="247">
        <v>0.06</v>
      </c>
      <c r="M26" s="247">
        <v>0.06</v>
      </c>
      <c r="N26" s="242"/>
    </row>
    <row r="27" spans="1:14" x14ac:dyDescent="0.35">
      <c r="J27" s="246" t="s">
        <v>282</v>
      </c>
      <c r="K27" s="247">
        <v>0.08</v>
      </c>
      <c r="L27" s="248" t="s">
        <v>280</v>
      </c>
      <c r="M27" s="248" t="s">
        <v>280</v>
      </c>
      <c r="N27" s="242"/>
    </row>
    <row r="28" spans="1:14" x14ac:dyDescent="0.35">
      <c r="J28" s="249"/>
      <c r="K28" s="250"/>
      <c r="L28" s="250"/>
      <c r="M28" s="251"/>
      <c r="N28" s="242"/>
    </row>
    <row r="29" spans="1:14" x14ac:dyDescent="0.35">
      <c r="J29" s="246" t="s">
        <v>265</v>
      </c>
      <c r="K29" s="248" t="s">
        <v>280</v>
      </c>
      <c r="L29" s="247">
        <v>0.04</v>
      </c>
      <c r="M29" s="247">
        <v>0.04</v>
      </c>
      <c r="N29" s="242"/>
    </row>
    <row r="30" spans="1:14" x14ac:dyDescent="0.35">
      <c r="J30" s="246" t="s">
        <v>283</v>
      </c>
      <c r="K30" s="247">
        <v>0.04</v>
      </c>
      <c r="L30" s="248" t="s">
        <v>280</v>
      </c>
      <c r="M30" s="248" t="s">
        <v>280</v>
      </c>
      <c r="N30" s="242"/>
    </row>
    <row r="31" spans="1:14" x14ac:dyDescent="0.35">
      <c r="J31" s="246" t="s">
        <v>284</v>
      </c>
      <c r="K31" s="247">
        <v>0</v>
      </c>
      <c r="L31" s="247">
        <v>0</v>
      </c>
      <c r="M31" s="247">
        <v>0</v>
      </c>
      <c r="N31" s="242"/>
    </row>
    <row r="32" spans="1:14" x14ac:dyDescent="0.35">
      <c r="J32" s="249"/>
      <c r="K32" s="250"/>
      <c r="L32" s="250"/>
      <c r="M32" s="251"/>
      <c r="N32" s="242"/>
    </row>
    <row r="33" spans="10:14" x14ac:dyDescent="0.35">
      <c r="J33" s="246" t="s">
        <v>267</v>
      </c>
      <c r="K33" s="247">
        <v>0.02</v>
      </c>
      <c r="L33" s="247">
        <v>0.02</v>
      </c>
      <c r="M33" s="248" t="s">
        <v>280</v>
      </c>
      <c r="N33" s="242"/>
    </row>
    <row r="34" spans="10:14" x14ac:dyDescent="0.35">
      <c r="J34" s="246" t="s">
        <v>285</v>
      </c>
      <c r="K34" s="248" t="s">
        <v>280</v>
      </c>
      <c r="L34" s="248" t="s">
        <v>280</v>
      </c>
      <c r="M34" s="247">
        <v>0.04</v>
      </c>
      <c r="N34" s="242"/>
    </row>
    <row r="35" spans="10:14" x14ac:dyDescent="0.35">
      <c r="J35" s="246" t="s">
        <v>286</v>
      </c>
      <c r="K35" s="248" t="s">
        <v>280</v>
      </c>
      <c r="L35" s="248" t="s">
        <v>280</v>
      </c>
      <c r="M35" s="247">
        <v>0.06</v>
      </c>
      <c r="N35" s="242"/>
    </row>
    <row r="36" spans="10:14" x14ac:dyDescent="0.35">
      <c r="J36" s="249"/>
      <c r="K36" s="250"/>
      <c r="L36" s="250"/>
      <c r="M36" s="251"/>
      <c r="N36" s="242"/>
    </row>
    <row r="37" spans="10:14" x14ac:dyDescent="0.35">
      <c r="J37" s="246" t="s">
        <v>329</v>
      </c>
      <c r="K37" s="247">
        <v>0.04</v>
      </c>
      <c r="L37" s="248" t="s">
        <v>280</v>
      </c>
      <c r="M37" s="247">
        <v>0.04</v>
      </c>
      <c r="N37" s="242"/>
    </row>
    <row r="38" spans="10:14" x14ac:dyDescent="0.35">
      <c r="J38" s="246" t="s">
        <v>269</v>
      </c>
      <c r="K38" s="248" t="s">
        <v>280</v>
      </c>
      <c r="L38" s="247">
        <v>0.08</v>
      </c>
      <c r="M38" s="248" t="s">
        <v>280</v>
      </c>
      <c r="N38" s="242"/>
    </row>
    <row r="39" spans="10:14" x14ac:dyDescent="0.35">
      <c r="J39" s="249"/>
      <c r="K39" s="250"/>
      <c r="L39" s="250"/>
      <c r="M39" s="251"/>
      <c r="N39" s="242"/>
    </row>
    <row r="40" spans="10:14" x14ac:dyDescent="0.35">
      <c r="J40" s="246" t="s">
        <v>287</v>
      </c>
      <c r="K40" s="247">
        <v>0.04</v>
      </c>
      <c r="L40" s="247">
        <v>0.04</v>
      </c>
      <c r="M40" s="247">
        <v>0.04</v>
      </c>
      <c r="N40" s="242"/>
    </row>
    <row r="41" spans="10:14" x14ac:dyDescent="0.35">
      <c r="J41" s="246" t="s">
        <v>271</v>
      </c>
      <c r="K41" s="247">
        <v>0.06</v>
      </c>
      <c r="L41" s="247">
        <v>0.06</v>
      </c>
      <c r="M41" s="247">
        <v>0.06</v>
      </c>
      <c r="N41" s="242"/>
    </row>
    <row r="42" spans="10:14" x14ac:dyDescent="0.35">
      <c r="J42" s="249"/>
      <c r="K42" s="250"/>
      <c r="L42" s="250"/>
      <c r="M42" s="251"/>
      <c r="N42" s="242"/>
    </row>
    <row r="43" spans="10:14" x14ac:dyDescent="0.35">
      <c r="J43" s="246" t="s">
        <v>273</v>
      </c>
      <c r="K43" s="247">
        <v>0.06</v>
      </c>
      <c r="L43" s="247">
        <v>0.06</v>
      </c>
      <c r="M43" s="247">
        <v>0.06</v>
      </c>
      <c r="N43" s="242"/>
    </row>
    <row r="44" spans="10:14" x14ac:dyDescent="0.3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xr:uid="{35323691-7A86-40D4-963E-00D7B8C98064}">
      <formula1>$J$18:$J$19</formula1>
    </dataValidation>
    <dataValidation type="list" allowBlank="1" showInputMessage="1" showErrorMessage="1" sqref="B5 B7" xr:uid="{9D780C85-D02F-4DE4-B3F5-1D5E28BB9E5E}">
      <formula1>$K$17:$M$17</formula1>
    </dataValidation>
    <dataValidation type="list" allowBlank="1" showInputMessage="1" showErrorMessage="1" sqref="B10" xr:uid="{023B22CB-2650-4334-B82C-BBA752C19D2A}">
      <formula1>$J$22:$J$23</formula1>
    </dataValidation>
    <dataValidation type="list" allowBlank="1" showInputMessage="1" showErrorMessage="1" sqref="B11" xr:uid="{4F0D9EAC-9411-418D-9B04-C2A5BF5F6824}">
      <formula1>$J$25:$J$27</formula1>
    </dataValidation>
    <dataValidation type="list" allowBlank="1" showInputMessage="1" showErrorMessage="1" sqref="B12" xr:uid="{8E766BEE-4900-41C3-BCF2-91C23ABAEFEE}">
      <formula1>$J$29:$J$31</formula1>
    </dataValidation>
    <dataValidation type="list" allowBlank="1" showInputMessage="1" showErrorMessage="1" sqref="B13" xr:uid="{DDE64B92-C02D-4970-8CFC-FACB6633668A}">
      <formula1>$J$33:$J$35</formula1>
    </dataValidation>
    <dataValidation type="list" allowBlank="1" showInputMessage="1" showErrorMessage="1" sqref="B14" xr:uid="{1C0BFCFF-4774-47F2-8B93-496CF5D21779}">
      <formula1>$J$37:$J$38</formula1>
    </dataValidation>
    <dataValidation type="list" allowBlank="1" showInputMessage="1" showErrorMessage="1" sqref="B15" xr:uid="{AD86EA47-A4B0-437E-9671-9F8E532769DC}">
      <formula1>$J$40:$J$41</formula1>
    </dataValidation>
    <dataValidation type="list" allowBlank="1" showInputMessage="1" showErrorMessage="1" sqref="B16" xr:uid="{3ECF9C44-4425-4250-BA5E-5782D71A1F4A}">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C0C7-A365-4D94-B5CD-2724C4403733}">
  <sheetPr codeName="Sheet7">
    <tabColor theme="3" tint="0.39997558519241921"/>
  </sheetPr>
  <dimension ref="A1:CW120"/>
  <sheetViews>
    <sheetView workbookViewId="0">
      <selection activeCell="A18" sqref="A18"/>
    </sheetView>
  </sheetViews>
  <sheetFormatPr defaultRowHeight="14.5" x14ac:dyDescent="0.35"/>
  <cols>
    <col min="1" max="1" width="16.1796875" bestFit="1" customWidth="1"/>
  </cols>
  <sheetData>
    <row r="1" spans="1:13" x14ac:dyDescent="0.35">
      <c r="A1" t="s">
        <v>148</v>
      </c>
      <c r="G1" s="265"/>
    </row>
    <row r="2" spans="1:13" x14ac:dyDescent="0.35">
      <c r="A2">
        <v>0.01</v>
      </c>
      <c r="G2" s="265"/>
      <c r="M2" s="265"/>
    </row>
    <row r="3" spans="1:13" hidden="1" x14ac:dyDescent="0.35"/>
    <row r="4" spans="1:13" hidden="1" x14ac:dyDescent="0.35"/>
    <row r="5" spans="1:13" hidden="1" x14ac:dyDescent="0.35"/>
    <row r="6" spans="1:13" hidden="1" x14ac:dyDescent="0.35"/>
    <row r="7" spans="1:13" hidden="1" x14ac:dyDescent="0.35"/>
    <row r="8" spans="1:13" hidden="1" x14ac:dyDescent="0.35"/>
    <row r="9" spans="1:13" hidden="1" x14ac:dyDescent="0.35"/>
    <row r="10" spans="1:13" hidden="1" x14ac:dyDescent="0.35"/>
    <row r="11" spans="1:13" hidden="1" x14ac:dyDescent="0.35"/>
    <row r="12" spans="1:13" hidden="1" x14ac:dyDescent="0.35"/>
    <row r="13" spans="1:13" hidden="1" x14ac:dyDescent="0.35"/>
    <row r="14" spans="1:13" hidden="1" x14ac:dyDescent="0.35"/>
    <row r="15" spans="1:13" hidden="1" x14ac:dyDescent="0.35"/>
    <row r="16" spans="1:13" hidden="1" x14ac:dyDescent="0.35"/>
    <row r="17" spans="1:101" hidden="1" x14ac:dyDescent="0.35"/>
    <row r="18" spans="1:101" ht="14.15" customHeight="1" x14ac:dyDescent="0.35">
      <c r="D18" s="265"/>
      <c r="G18" s="265"/>
      <c r="M18" s="265"/>
    </row>
    <row r="19" spans="1:101" x14ac:dyDescent="0.35">
      <c r="A19" t="s">
        <v>149</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35">
      <c r="A20" s="155" t="s">
        <v>288</v>
      </c>
      <c r="B20" s="266">
        <f>'Hoja De Calculo'!C61</f>
        <v>85683</v>
      </c>
      <c r="C20" s="266">
        <f>'Hoja De Calculo'!D61</f>
        <v>117595</v>
      </c>
      <c r="D20" s="266">
        <f>'Hoja De Calculo'!E61</f>
        <v>0</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35">
      <c r="A21" t="s">
        <v>150</v>
      </c>
      <c r="B21" s="267">
        <f>B20-(B20*$A$2)</f>
        <v>84826.17</v>
      </c>
      <c r="C21" s="267">
        <f t="shared" ref="C21:AH21" si="0">B21-($B$20*$A$2)</f>
        <v>83969.34</v>
      </c>
      <c r="D21" s="267">
        <f t="shared" si="0"/>
        <v>83112.509999999995</v>
      </c>
      <c r="E21" s="267">
        <f t="shared" si="0"/>
        <v>82255.679999999993</v>
      </c>
      <c r="F21" s="267">
        <f t="shared" si="0"/>
        <v>81398.849999999991</v>
      </c>
      <c r="G21" s="267">
        <f t="shared" si="0"/>
        <v>80542.01999999999</v>
      </c>
      <c r="H21" s="268">
        <f t="shared" si="0"/>
        <v>79685.189999999988</v>
      </c>
      <c r="I21" s="269">
        <f t="shared" si="0"/>
        <v>78828.359999999986</v>
      </c>
      <c r="J21" s="269">
        <f t="shared" si="0"/>
        <v>77971.529999999984</v>
      </c>
      <c r="K21" s="269">
        <f t="shared" si="0"/>
        <v>77114.699999999983</v>
      </c>
      <c r="L21" s="269">
        <f t="shared" si="0"/>
        <v>76257.869999999981</v>
      </c>
      <c r="M21" s="269">
        <f t="shared" si="0"/>
        <v>75401.039999999979</v>
      </c>
      <c r="N21" s="270">
        <f t="shared" si="0"/>
        <v>74544.209999999977</v>
      </c>
      <c r="O21" s="270">
        <f t="shared" si="0"/>
        <v>73687.379999999976</v>
      </c>
      <c r="P21" s="270">
        <f t="shared" si="0"/>
        <v>72830.549999999974</v>
      </c>
      <c r="Q21" s="270">
        <f t="shared" si="0"/>
        <v>71973.719999999972</v>
      </c>
      <c r="R21" s="270">
        <f t="shared" si="0"/>
        <v>71116.88999999997</v>
      </c>
      <c r="S21" s="270">
        <f t="shared" si="0"/>
        <v>70260.059999999969</v>
      </c>
      <c r="T21" s="271">
        <f t="shared" si="0"/>
        <v>69403.229999999967</v>
      </c>
      <c r="U21" s="271">
        <f t="shared" si="0"/>
        <v>68546.399999999965</v>
      </c>
      <c r="V21" s="271">
        <f t="shared" si="0"/>
        <v>67689.569999999963</v>
      </c>
      <c r="W21" s="271">
        <f t="shared" si="0"/>
        <v>66832.739999999962</v>
      </c>
      <c r="X21" s="271">
        <f t="shared" si="0"/>
        <v>65975.90999999996</v>
      </c>
      <c r="Y21" s="271">
        <f t="shared" si="0"/>
        <v>65119.079999999958</v>
      </c>
      <c r="Z21" s="272">
        <f t="shared" si="0"/>
        <v>64262.249999999956</v>
      </c>
      <c r="AA21" s="272">
        <f t="shared" si="0"/>
        <v>63405.419999999955</v>
      </c>
      <c r="AB21" s="272">
        <f t="shared" si="0"/>
        <v>62548.589999999953</v>
      </c>
      <c r="AC21" s="272">
        <f t="shared" si="0"/>
        <v>61691.759999999951</v>
      </c>
      <c r="AD21" s="272">
        <f t="shared" si="0"/>
        <v>60834.929999999949</v>
      </c>
      <c r="AE21" s="272">
        <f t="shared" si="0"/>
        <v>59978.099999999948</v>
      </c>
      <c r="AF21" s="265">
        <f t="shared" si="0"/>
        <v>59121.269999999946</v>
      </c>
      <c r="AG21" s="265">
        <f t="shared" si="0"/>
        <v>58264.439999999944</v>
      </c>
      <c r="AH21" s="265">
        <f t="shared" si="0"/>
        <v>57407.609999999942</v>
      </c>
      <c r="AI21" s="265">
        <f t="shared" ref="AI21:BN21" si="1">AH21-($B$20*$A$2)</f>
        <v>56550.779999999941</v>
      </c>
      <c r="AJ21" s="265">
        <f t="shared" si="1"/>
        <v>55693.949999999939</v>
      </c>
      <c r="AK21" s="265">
        <f t="shared" si="1"/>
        <v>54837.119999999937</v>
      </c>
      <c r="AL21" s="265">
        <f t="shared" si="1"/>
        <v>53980.289999999935</v>
      </c>
      <c r="AM21" s="265">
        <f t="shared" si="1"/>
        <v>53123.459999999934</v>
      </c>
      <c r="AN21" s="265">
        <f t="shared" si="1"/>
        <v>52266.629999999932</v>
      </c>
      <c r="AO21" s="265">
        <f t="shared" si="1"/>
        <v>51409.79999999993</v>
      </c>
      <c r="AP21" s="265">
        <f t="shared" si="1"/>
        <v>50552.969999999928</v>
      </c>
      <c r="AQ21" s="265">
        <f t="shared" si="1"/>
        <v>49696.139999999927</v>
      </c>
      <c r="AR21" s="265">
        <f t="shared" si="1"/>
        <v>48839.309999999925</v>
      </c>
      <c r="AS21" s="265">
        <f t="shared" si="1"/>
        <v>47982.479999999923</v>
      </c>
      <c r="AT21" s="265">
        <f t="shared" si="1"/>
        <v>47125.649999999921</v>
      </c>
      <c r="AU21" s="265">
        <f t="shared" si="1"/>
        <v>46268.81999999992</v>
      </c>
      <c r="AV21" s="265">
        <f t="shared" si="1"/>
        <v>45411.989999999918</v>
      </c>
      <c r="AW21" s="265">
        <f t="shared" si="1"/>
        <v>44555.159999999916</v>
      </c>
      <c r="AX21" s="265">
        <f t="shared" si="1"/>
        <v>43698.329999999914</v>
      </c>
      <c r="AY21" s="265">
        <f t="shared" si="1"/>
        <v>42841.499999999913</v>
      </c>
      <c r="AZ21" s="265">
        <f t="shared" si="1"/>
        <v>41984.669999999911</v>
      </c>
      <c r="BA21" s="265">
        <f t="shared" si="1"/>
        <v>41127.839999999909</v>
      </c>
      <c r="BB21" s="265">
        <f t="shared" si="1"/>
        <v>40271.009999999907</v>
      </c>
      <c r="BC21" s="265">
        <f t="shared" si="1"/>
        <v>39414.179999999906</v>
      </c>
      <c r="BD21" s="265">
        <f t="shared" si="1"/>
        <v>38557.349999999904</v>
      </c>
      <c r="BE21" s="265">
        <f t="shared" si="1"/>
        <v>37700.519999999902</v>
      </c>
      <c r="BF21" s="265">
        <f t="shared" si="1"/>
        <v>36843.6899999999</v>
      </c>
      <c r="BG21" s="265">
        <f t="shared" si="1"/>
        <v>35986.859999999899</v>
      </c>
      <c r="BH21" s="265">
        <f t="shared" si="1"/>
        <v>35130.029999999897</v>
      </c>
      <c r="BI21" s="265">
        <f t="shared" si="1"/>
        <v>34273.199999999895</v>
      </c>
      <c r="BJ21" s="265">
        <f t="shared" si="1"/>
        <v>33416.369999999893</v>
      </c>
      <c r="BK21" s="265">
        <f t="shared" si="1"/>
        <v>32559.539999999892</v>
      </c>
      <c r="BL21" s="265">
        <f t="shared" si="1"/>
        <v>31702.70999999989</v>
      </c>
      <c r="BM21" s="265">
        <f t="shared" si="1"/>
        <v>30845.879999999888</v>
      </c>
      <c r="BN21" s="265">
        <f t="shared" si="1"/>
        <v>29989.049999999886</v>
      </c>
      <c r="BO21" s="265">
        <f t="shared" ref="BO21:CW21" si="2">BN21-($B$20*$A$2)</f>
        <v>29132.219999999885</v>
      </c>
      <c r="BP21" s="265">
        <f t="shared" si="2"/>
        <v>28275.389999999883</v>
      </c>
      <c r="BQ21" s="265">
        <f t="shared" si="2"/>
        <v>27418.559999999881</v>
      </c>
      <c r="BR21" s="265">
        <f t="shared" si="2"/>
        <v>26561.72999999988</v>
      </c>
      <c r="BS21" s="265">
        <f t="shared" si="2"/>
        <v>25704.899999999878</v>
      </c>
      <c r="BT21" s="265">
        <f t="shared" si="2"/>
        <v>24848.069999999876</v>
      </c>
      <c r="BU21" s="265">
        <f t="shared" si="2"/>
        <v>23991.239999999874</v>
      </c>
      <c r="BV21" s="265">
        <f t="shared" si="2"/>
        <v>23134.409999999873</v>
      </c>
      <c r="BW21" s="265">
        <f t="shared" si="2"/>
        <v>22277.579999999871</v>
      </c>
      <c r="BX21" s="265">
        <f t="shared" si="2"/>
        <v>21420.749999999869</v>
      </c>
      <c r="BY21" s="265">
        <f t="shared" si="2"/>
        <v>20563.919999999867</v>
      </c>
      <c r="BZ21" s="265">
        <f t="shared" si="2"/>
        <v>19707.089999999866</v>
      </c>
      <c r="CA21" s="265">
        <f t="shared" si="2"/>
        <v>18850.259999999864</v>
      </c>
      <c r="CB21" s="265">
        <f t="shared" si="2"/>
        <v>17993.429999999862</v>
      </c>
      <c r="CC21" s="265">
        <f t="shared" si="2"/>
        <v>17136.59999999986</v>
      </c>
      <c r="CD21" s="265">
        <f t="shared" si="2"/>
        <v>16279.76999999986</v>
      </c>
      <c r="CE21" s="265">
        <f t="shared" si="2"/>
        <v>15422.93999999986</v>
      </c>
      <c r="CF21" s="265">
        <f t="shared" si="2"/>
        <v>14566.109999999861</v>
      </c>
      <c r="CG21" s="265">
        <f t="shared" si="2"/>
        <v>13709.279999999861</v>
      </c>
      <c r="CH21" s="265">
        <f t="shared" si="2"/>
        <v>12852.449999999861</v>
      </c>
      <c r="CI21" s="265">
        <f t="shared" si="2"/>
        <v>11995.619999999861</v>
      </c>
      <c r="CJ21" s="265">
        <f t="shared" si="2"/>
        <v>11138.789999999861</v>
      </c>
      <c r="CK21" s="265">
        <f t="shared" si="2"/>
        <v>10281.959999999861</v>
      </c>
      <c r="CL21" s="265">
        <f t="shared" si="2"/>
        <v>9425.129999999861</v>
      </c>
      <c r="CM21" s="265">
        <f t="shared" si="2"/>
        <v>8568.299999999861</v>
      </c>
      <c r="CN21" s="265">
        <f t="shared" si="2"/>
        <v>7711.4699999998611</v>
      </c>
      <c r="CO21" s="265">
        <f t="shared" si="2"/>
        <v>6854.6399999998612</v>
      </c>
      <c r="CP21" s="265">
        <f t="shared" si="2"/>
        <v>5997.8099999998612</v>
      </c>
      <c r="CQ21" s="265">
        <f t="shared" si="2"/>
        <v>5140.9799999998613</v>
      </c>
      <c r="CR21" s="265">
        <f t="shared" si="2"/>
        <v>4284.1499999998614</v>
      </c>
      <c r="CS21" s="265">
        <f t="shared" si="2"/>
        <v>3427.3199999998615</v>
      </c>
      <c r="CT21" s="265">
        <f t="shared" si="2"/>
        <v>2570.4899999998615</v>
      </c>
      <c r="CU21" s="265">
        <f t="shared" si="2"/>
        <v>1713.6599999998616</v>
      </c>
      <c r="CV21" s="265">
        <f t="shared" si="2"/>
        <v>856.82999999986157</v>
      </c>
      <c r="CW21" s="265">
        <f t="shared" si="2"/>
        <v>-1.3847056834492832E-10</v>
      </c>
    </row>
    <row r="22" spans="1:101" x14ac:dyDescent="0.35">
      <c r="A22" t="s">
        <v>151</v>
      </c>
      <c r="B22" s="273"/>
      <c r="C22" s="274">
        <f>C20-(C20*$A$2)</f>
        <v>116419.05</v>
      </c>
      <c r="D22" s="274">
        <f t="shared" ref="D22:AI22" si="3">C22-($C$20*$A$2)</f>
        <v>115243.1</v>
      </c>
      <c r="E22" s="274">
        <f t="shared" si="3"/>
        <v>114067.15000000001</v>
      </c>
      <c r="F22" s="274">
        <f t="shared" si="3"/>
        <v>112891.20000000001</v>
      </c>
      <c r="G22" s="274">
        <f t="shared" si="3"/>
        <v>111715.25000000001</v>
      </c>
      <c r="H22" s="275">
        <f t="shared" si="3"/>
        <v>110539.30000000002</v>
      </c>
      <c r="I22" s="276">
        <f t="shared" si="3"/>
        <v>109363.35000000002</v>
      </c>
      <c r="J22" s="276">
        <f t="shared" si="3"/>
        <v>108187.40000000002</v>
      </c>
      <c r="K22" s="276">
        <f t="shared" si="3"/>
        <v>107011.45000000003</v>
      </c>
      <c r="L22" s="276">
        <f t="shared" si="3"/>
        <v>105835.50000000003</v>
      </c>
      <c r="M22" s="276">
        <f t="shared" si="3"/>
        <v>104659.55000000003</v>
      </c>
      <c r="N22" s="277">
        <f t="shared" si="3"/>
        <v>103483.60000000003</v>
      </c>
      <c r="O22" s="277">
        <f t="shared" si="3"/>
        <v>102307.65000000004</v>
      </c>
      <c r="P22" s="277">
        <f t="shared" si="3"/>
        <v>101131.70000000004</v>
      </c>
      <c r="Q22" s="277">
        <f t="shared" si="3"/>
        <v>99955.750000000044</v>
      </c>
      <c r="R22" s="277">
        <f t="shared" si="3"/>
        <v>98779.800000000047</v>
      </c>
      <c r="S22" s="277">
        <f t="shared" si="3"/>
        <v>97603.850000000049</v>
      </c>
      <c r="T22" s="278">
        <f t="shared" si="3"/>
        <v>96427.900000000052</v>
      </c>
      <c r="U22" s="278">
        <f t="shared" si="3"/>
        <v>95251.950000000055</v>
      </c>
      <c r="V22" s="278">
        <f t="shared" si="3"/>
        <v>94076.000000000058</v>
      </c>
      <c r="W22" s="278">
        <f t="shared" si="3"/>
        <v>92900.050000000061</v>
      </c>
      <c r="X22" s="278">
        <f t="shared" si="3"/>
        <v>91724.100000000064</v>
      </c>
      <c r="Y22" s="278">
        <f t="shared" si="3"/>
        <v>90548.150000000067</v>
      </c>
      <c r="Z22" s="279">
        <f t="shared" si="3"/>
        <v>89372.20000000007</v>
      </c>
      <c r="AA22" s="279">
        <f t="shared" si="3"/>
        <v>88196.250000000073</v>
      </c>
      <c r="AB22" s="279">
        <f t="shared" si="3"/>
        <v>87020.300000000076</v>
      </c>
      <c r="AC22" s="279">
        <f t="shared" si="3"/>
        <v>85844.350000000079</v>
      </c>
      <c r="AD22" s="279">
        <f t="shared" si="3"/>
        <v>84668.400000000081</v>
      </c>
      <c r="AE22" s="279">
        <f t="shared" si="3"/>
        <v>83492.450000000084</v>
      </c>
      <c r="AF22" s="265">
        <f t="shared" si="3"/>
        <v>82316.500000000087</v>
      </c>
      <c r="AG22" s="265">
        <f t="shared" si="3"/>
        <v>81140.55000000009</v>
      </c>
      <c r="AH22" s="265">
        <f t="shared" si="3"/>
        <v>79964.600000000093</v>
      </c>
      <c r="AI22" s="265">
        <f t="shared" si="3"/>
        <v>78788.650000000096</v>
      </c>
      <c r="AJ22" s="265">
        <f t="shared" ref="AJ22:BO22" si="4">AI22-($C$20*$A$2)</f>
        <v>77612.700000000099</v>
      </c>
      <c r="AK22" s="265">
        <f t="shared" si="4"/>
        <v>76436.750000000102</v>
      </c>
      <c r="AL22" s="265">
        <f t="shared" si="4"/>
        <v>75260.800000000105</v>
      </c>
      <c r="AM22" s="265">
        <f t="shared" si="4"/>
        <v>74084.850000000108</v>
      </c>
      <c r="AN22" s="265">
        <f t="shared" si="4"/>
        <v>72908.900000000111</v>
      </c>
      <c r="AO22" s="265">
        <f t="shared" si="4"/>
        <v>71732.950000000114</v>
      </c>
      <c r="AP22" s="265">
        <f t="shared" si="4"/>
        <v>70557.000000000116</v>
      </c>
      <c r="AQ22" s="265">
        <f t="shared" si="4"/>
        <v>69381.050000000119</v>
      </c>
      <c r="AR22" s="265">
        <f t="shared" si="4"/>
        <v>68205.100000000122</v>
      </c>
      <c r="AS22" s="265">
        <f t="shared" si="4"/>
        <v>67029.150000000125</v>
      </c>
      <c r="AT22" s="265">
        <f t="shared" si="4"/>
        <v>65853.200000000128</v>
      </c>
      <c r="AU22" s="265">
        <f t="shared" si="4"/>
        <v>64677.250000000131</v>
      </c>
      <c r="AV22" s="265">
        <f t="shared" si="4"/>
        <v>63501.300000000134</v>
      </c>
      <c r="AW22" s="265">
        <f t="shared" si="4"/>
        <v>62325.350000000137</v>
      </c>
      <c r="AX22">
        <f t="shared" si="4"/>
        <v>61149.40000000014</v>
      </c>
      <c r="AY22">
        <f t="shared" si="4"/>
        <v>59973.450000000143</v>
      </c>
      <c r="AZ22">
        <f t="shared" si="4"/>
        <v>58797.500000000146</v>
      </c>
      <c r="BA22">
        <f t="shared" si="4"/>
        <v>57621.550000000148</v>
      </c>
      <c r="BB22">
        <f t="shared" si="4"/>
        <v>56445.600000000151</v>
      </c>
      <c r="BC22">
        <f t="shared" si="4"/>
        <v>55269.650000000154</v>
      </c>
      <c r="BD22">
        <f t="shared" si="4"/>
        <v>54093.700000000157</v>
      </c>
      <c r="BE22">
        <f t="shared" si="4"/>
        <v>52917.75000000016</v>
      </c>
      <c r="BF22">
        <f t="shared" si="4"/>
        <v>51741.800000000163</v>
      </c>
      <c r="BG22">
        <f t="shared" si="4"/>
        <v>50565.850000000166</v>
      </c>
      <c r="BH22">
        <f t="shared" si="4"/>
        <v>49389.900000000169</v>
      </c>
      <c r="BI22" s="265">
        <f t="shared" si="4"/>
        <v>48213.950000000172</v>
      </c>
      <c r="BJ22" s="265">
        <f t="shared" si="4"/>
        <v>47038.000000000175</v>
      </c>
      <c r="BK22" s="265">
        <f t="shared" si="4"/>
        <v>45862.050000000178</v>
      </c>
      <c r="BL22" s="265">
        <f t="shared" si="4"/>
        <v>44686.10000000018</v>
      </c>
      <c r="BM22" s="265">
        <f t="shared" si="4"/>
        <v>43510.150000000183</v>
      </c>
      <c r="BN22" s="265">
        <f t="shared" si="4"/>
        <v>42334.200000000186</v>
      </c>
      <c r="BO22" s="265">
        <f t="shared" si="4"/>
        <v>41158.250000000189</v>
      </c>
      <c r="BP22" s="265">
        <f t="shared" ref="BP22:CW22" si="5">BO22-($C$20*$A$2)</f>
        <v>39982.300000000192</v>
      </c>
      <c r="BQ22" s="265">
        <f t="shared" si="5"/>
        <v>38806.350000000195</v>
      </c>
      <c r="BR22" s="265">
        <f t="shared" si="5"/>
        <v>37630.400000000198</v>
      </c>
      <c r="BS22" s="265">
        <f t="shared" si="5"/>
        <v>36454.450000000201</v>
      </c>
      <c r="BT22" s="265">
        <f t="shared" si="5"/>
        <v>35278.500000000204</v>
      </c>
      <c r="BU22" s="265">
        <f t="shared" si="5"/>
        <v>34102.550000000207</v>
      </c>
      <c r="BV22" s="265">
        <f t="shared" si="5"/>
        <v>32926.60000000021</v>
      </c>
      <c r="BW22" s="265">
        <f t="shared" si="5"/>
        <v>31750.650000000209</v>
      </c>
      <c r="BX22" s="265">
        <f t="shared" si="5"/>
        <v>30574.700000000208</v>
      </c>
      <c r="BY22" s="265">
        <f t="shared" si="5"/>
        <v>29398.750000000207</v>
      </c>
      <c r="BZ22" s="265">
        <f t="shared" si="5"/>
        <v>28222.800000000207</v>
      </c>
      <c r="CA22" s="265">
        <f t="shared" si="5"/>
        <v>27046.850000000206</v>
      </c>
      <c r="CB22" s="265">
        <f t="shared" si="5"/>
        <v>25870.900000000205</v>
      </c>
      <c r="CC22" s="265">
        <f t="shared" si="5"/>
        <v>24694.950000000204</v>
      </c>
      <c r="CD22" s="265">
        <f t="shared" si="5"/>
        <v>23519.000000000204</v>
      </c>
      <c r="CE22" s="265">
        <f t="shared" si="5"/>
        <v>22343.050000000203</v>
      </c>
      <c r="CF22" s="265">
        <f t="shared" si="5"/>
        <v>21167.100000000202</v>
      </c>
      <c r="CG22" s="265">
        <f t="shared" si="5"/>
        <v>19991.150000000202</v>
      </c>
      <c r="CH22" s="265">
        <f t="shared" si="5"/>
        <v>18815.200000000201</v>
      </c>
      <c r="CI22" s="265">
        <f t="shared" si="5"/>
        <v>17639.2500000002</v>
      </c>
      <c r="CJ22" s="265">
        <f t="shared" si="5"/>
        <v>16463.300000000199</v>
      </c>
      <c r="CK22" s="265">
        <f t="shared" si="5"/>
        <v>15287.350000000199</v>
      </c>
      <c r="CL22" s="265">
        <f t="shared" si="5"/>
        <v>14111.400000000198</v>
      </c>
      <c r="CM22" s="265">
        <f t="shared" si="5"/>
        <v>12935.450000000197</v>
      </c>
      <c r="CN22" s="265">
        <f t="shared" si="5"/>
        <v>11759.500000000196</v>
      </c>
      <c r="CO22" s="265">
        <f t="shared" si="5"/>
        <v>10583.550000000196</v>
      </c>
      <c r="CP22" s="265">
        <f t="shared" si="5"/>
        <v>9407.600000000195</v>
      </c>
      <c r="CQ22" s="265">
        <f t="shared" si="5"/>
        <v>8231.6500000001943</v>
      </c>
      <c r="CR22" s="265">
        <f t="shared" si="5"/>
        <v>7055.7000000001944</v>
      </c>
      <c r="CS22" s="265">
        <f t="shared" si="5"/>
        <v>5879.7500000001946</v>
      </c>
      <c r="CT22" s="265">
        <f t="shared" si="5"/>
        <v>4703.8000000001948</v>
      </c>
      <c r="CU22" s="265">
        <f t="shared" si="5"/>
        <v>3527.850000000195</v>
      </c>
      <c r="CV22" s="265">
        <f t="shared" si="5"/>
        <v>2351.9000000001952</v>
      </c>
      <c r="CW22" s="265">
        <f t="shared" si="5"/>
        <v>1175.9500000001951</v>
      </c>
    </row>
    <row r="23" spans="1:101" x14ac:dyDescent="0.35">
      <c r="A23" t="s">
        <v>152</v>
      </c>
      <c r="B23" s="273"/>
      <c r="C23" s="280"/>
      <c r="D23" s="281">
        <f>D20-(D20*$A$2)</f>
        <v>0</v>
      </c>
      <c r="E23" s="281">
        <f t="shared" ref="E23:AJ23" si="6">D23-($D$20*$A$2)</f>
        <v>0</v>
      </c>
      <c r="F23" s="281">
        <f t="shared" si="6"/>
        <v>0</v>
      </c>
      <c r="G23" s="281">
        <f t="shared" si="6"/>
        <v>0</v>
      </c>
      <c r="H23" s="282">
        <f t="shared" si="6"/>
        <v>0</v>
      </c>
      <c r="I23" s="283">
        <f t="shared" si="6"/>
        <v>0</v>
      </c>
      <c r="J23" s="283">
        <f t="shared" si="6"/>
        <v>0</v>
      </c>
      <c r="K23" s="283">
        <f t="shared" si="6"/>
        <v>0</v>
      </c>
      <c r="L23" s="283">
        <f t="shared" si="6"/>
        <v>0</v>
      </c>
      <c r="M23" s="283">
        <f t="shared" si="6"/>
        <v>0</v>
      </c>
      <c r="N23" s="284">
        <f t="shared" si="6"/>
        <v>0</v>
      </c>
      <c r="O23" s="284">
        <f t="shared" si="6"/>
        <v>0</v>
      </c>
      <c r="P23" s="284">
        <f t="shared" si="6"/>
        <v>0</v>
      </c>
      <c r="Q23" s="284">
        <f t="shared" si="6"/>
        <v>0</v>
      </c>
      <c r="R23" s="284">
        <f t="shared" si="6"/>
        <v>0</v>
      </c>
      <c r="S23" s="284">
        <f t="shared" si="6"/>
        <v>0</v>
      </c>
      <c r="T23" s="285">
        <f t="shared" si="6"/>
        <v>0</v>
      </c>
      <c r="U23" s="285">
        <f t="shared" si="6"/>
        <v>0</v>
      </c>
      <c r="V23" s="285">
        <f t="shared" si="6"/>
        <v>0</v>
      </c>
      <c r="W23" s="285">
        <f t="shared" si="6"/>
        <v>0</v>
      </c>
      <c r="X23" s="285">
        <f t="shared" si="6"/>
        <v>0</v>
      </c>
      <c r="Y23" s="285">
        <f t="shared" si="6"/>
        <v>0</v>
      </c>
      <c r="Z23" s="286">
        <f t="shared" si="6"/>
        <v>0</v>
      </c>
      <c r="AA23" s="286">
        <f t="shared" si="6"/>
        <v>0</v>
      </c>
      <c r="AB23" s="286">
        <f t="shared" si="6"/>
        <v>0</v>
      </c>
      <c r="AC23" s="286">
        <f t="shared" si="6"/>
        <v>0</v>
      </c>
      <c r="AD23" s="286">
        <f t="shared" si="6"/>
        <v>0</v>
      </c>
      <c r="AE23" s="286">
        <f t="shared" si="6"/>
        <v>0</v>
      </c>
      <c r="AF23" s="265">
        <f t="shared" si="6"/>
        <v>0</v>
      </c>
      <c r="AG23" s="265">
        <f t="shared" si="6"/>
        <v>0</v>
      </c>
      <c r="AH23" s="265">
        <f t="shared" si="6"/>
        <v>0</v>
      </c>
      <c r="AI23" s="265">
        <f t="shared" si="6"/>
        <v>0</v>
      </c>
      <c r="AJ23" s="265">
        <f t="shared" si="6"/>
        <v>0</v>
      </c>
      <c r="AK23" s="265">
        <f t="shared" ref="AK23:BP23" si="7">AJ23-($D$20*$A$2)</f>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f t="shared" si="7"/>
        <v>0</v>
      </c>
      <c r="AY23">
        <f t="shared" si="7"/>
        <v>0</v>
      </c>
      <c r="AZ23">
        <f t="shared" si="7"/>
        <v>0</v>
      </c>
      <c r="BA23">
        <f t="shared" si="7"/>
        <v>0</v>
      </c>
      <c r="BB23">
        <f t="shared" si="7"/>
        <v>0</v>
      </c>
      <c r="BC23">
        <f t="shared" si="7"/>
        <v>0</v>
      </c>
      <c r="BD23">
        <f t="shared" si="7"/>
        <v>0</v>
      </c>
      <c r="BE23">
        <f t="shared" si="7"/>
        <v>0</v>
      </c>
      <c r="BF23">
        <f t="shared" si="7"/>
        <v>0</v>
      </c>
      <c r="BG23">
        <f t="shared" si="7"/>
        <v>0</v>
      </c>
      <c r="BH23">
        <f t="shared" si="7"/>
        <v>0</v>
      </c>
      <c r="BI23" s="265">
        <f t="shared" si="7"/>
        <v>0</v>
      </c>
      <c r="BJ23" s="265">
        <f t="shared" si="7"/>
        <v>0</v>
      </c>
      <c r="BK23" s="265">
        <f t="shared" si="7"/>
        <v>0</v>
      </c>
      <c r="BL23" s="265">
        <f t="shared" si="7"/>
        <v>0</v>
      </c>
      <c r="BM23" s="265">
        <f t="shared" si="7"/>
        <v>0</v>
      </c>
      <c r="BN23" s="265">
        <f t="shared" si="7"/>
        <v>0</v>
      </c>
      <c r="BO23" s="265">
        <f t="shared" si="7"/>
        <v>0</v>
      </c>
      <c r="BP23" s="265">
        <f t="shared" si="7"/>
        <v>0</v>
      </c>
      <c r="BQ23" s="265">
        <f t="shared" ref="BQ23:CW23" si="8">BP23-($D$20*$A$2)</f>
        <v>0</v>
      </c>
      <c r="BR23" s="265">
        <f t="shared" si="8"/>
        <v>0</v>
      </c>
      <c r="BS23" s="265">
        <f t="shared" si="8"/>
        <v>0</v>
      </c>
      <c r="BT23" s="265">
        <f t="shared" si="8"/>
        <v>0</v>
      </c>
      <c r="BU23" s="265">
        <f t="shared" si="8"/>
        <v>0</v>
      </c>
      <c r="BV23" s="265">
        <f t="shared" si="8"/>
        <v>0</v>
      </c>
      <c r="BW23" s="265">
        <f t="shared" si="8"/>
        <v>0</v>
      </c>
      <c r="BX23" s="265">
        <f t="shared" si="8"/>
        <v>0</v>
      </c>
      <c r="BY23" s="265">
        <f t="shared" si="8"/>
        <v>0</v>
      </c>
      <c r="BZ23" s="265">
        <f t="shared" si="8"/>
        <v>0</v>
      </c>
      <c r="CA23" s="265">
        <f t="shared" si="8"/>
        <v>0</v>
      </c>
      <c r="CB23" s="265">
        <f t="shared" si="8"/>
        <v>0</v>
      </c>
      <c r="CC23" s="265">
        <f t="shared" si="8"/>
        <v>0</v>
      </c>
      <c r="CD23" s="265">
        <f t="shared" si="8"/>
        <v>0</v>
      </c>
      <c r="CE23" s="265">
        <f t="shared" si="8"/>
        <v>0</v>
      </c>
      <c r="CF23" s="265">
        <f t="shared" si="8"/>
        <v>0</v>
      </c>
      <c r="CG23" s="265">
        <f t="shared" si="8"/>
        <v>0</v>
      </c>
      <c r="CH23" s="265">
        <f t="shared" si="8"/>
        <v>0</v>
      </c>
      <c r="CI23" s="265">
        <f t="shared" si="8"/>
        <v>0</v>
      </c>
      <c r="CJ23" s="265">
        <f t="shared" si="8"/>
        <v>0</v>
      </c>
      <c r="CK23" s="265">
        <f t="shared" si="8"/>
        <v>0</v>
      </c>
      <c r="CL23" s="265">
        <f t="shared" si="8"/>
        <v>0</v>
      </c>
      <c r="CM23" s="265">
        <f t="shared" si="8"/>
        <v>0</v>
      </c>
      <c r="CN23" s="265">
        <f t="shared" si="8"/>
        <v>0</v>
      </c>
      <c r="CO23" s="265">
        <f t="shared" si="8"/>
        <v>0</v>
      </c>
      <c r="CP23" s="265">
        <f t="shared" si="8"/>
        <v>0</v>
      </c>
      <c r="CQ23" s="265">
        <f t="shared" si="8"/>
        <v>0</v>
      </c>
      <c r="CR23" s="265">
        <f t="shared" si="8"/>
        <v>0</v>
      </c>
      <c r="CS23" s="265">
        <f t="shared" si="8"/>
        <v>0</v>
      </c>
      <c r="CT23" s="265">
        <f t="shared" si="8"/>
        <v>0</v>
      </c>
      <c r="CU23" s="265">
        <f t="shared" si="8"/>
        <v>0</v>
      </c>
      <c r="CV23" s="265">
        <f t="shared" si="8"/>
        <v>0</v>
      </c>
      <c r="CW23" s="265">
        <f t="shared" si="8"/>
        <v>0</v>
      </c>
    </row>
    <row r="24" spans="1:101" x14ac:dyDescent="0.35">
      <c r="A24" t="s">
        <v>153</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35">
      <c r="A25" t="s">
        <v>154</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35">
      <c r="A26" t="s">
        <v>155</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35">
      <c r="A27" t="s">
        <v>156</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35">
      <c r="A28" t="s">
        <v>157</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35">
      <c r="A29" t="s">
        <v>158</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35">
      <c r="A30" t="s">
        <v>159</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35">
      <c r="A31" t="s">
        <v>160</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35">
      <c r="A32" t="s">
        <v>161</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35">
      <c r="A33" t="s">
        <v>162</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35">
      <c r="A34" t="s">
        <v>163</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35">
      <c r="A35" t="s">
        <v>164</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35">
      <c r="A36" t="s">
        <v>165</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35">
      <c r="A37" t="s">
        <v>166</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35">
      <c r="A38" t="s">
        <v>167</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35">
      <c r="A39" t="s">
        <v>168</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35">
      <c r="A40" t="s">
        <v>169</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35">
      <c r="A41" t="s">
        <v>170</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35">
      <c r="A42" t="s">
        <v>171</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35">
      <c r="A43" t="s">
        <v>172</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35">
      <c r="A44" t="s">
        <v>173</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35">
      <c r="A45" t="s">
        <v>174</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35">
      <c r="A46" t="s">
        <v>175</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35">
      <c r="A47" t="s">
        <v>176</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35">
      <c r="A48" t="s">
        <v>177</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35">
      <c r="A49" t="s">
        <v>178</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35">
      <c r="A50" t="s">
        <v>179</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35">
      <c r="A51" t="s">
        <v>180</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35">
      <c r="A52" t="s">
        <v>181</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35">
      <c r="A53" t="s">
        <v>182</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35">
      <c r="A54" t="s">
        <v>183</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35">
      <c r="A55" t="s">
        <v>184</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35">
      <c r="A56" t="s">
        <v>185</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35">
      <c r="A57" t="s">
        <v>186</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35">
      <c r="A58" t="s">
        <v>187</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35">
      <c r="A59" t="s">
        <v>188</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35">
      <c r="A60" t="s">
        <v>189</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35">
      <c r="A61" t="s">
        <v>190</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35">
      <c r="A62" t="s">
        <v>191</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35">
      <c r="A63" t="s">
        <v>192</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35">
      <c r="A64" t="s">
        <v>193</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35">
      <c r="A65" t="s">
        <v>194</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35">
      <c r="A66" t="s">
        <v>195</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35">
      <c r="A67" t="s">
        <v>196</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35">
      <c r="A68" t="s">
        <v>197</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35">
      <c r="A69" t="s">
        <v>198</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35">
      <c r="A70" t="s">
        <v>199</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35">
      <c r="A71" t="s">
        <v>200</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35">
      <c r="A72" t="s">
        <v>201</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35">
      <c r="A73" t="s">
        <v>202</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35">
      <c r="A74" t="s">
        <v>203</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35">
      <c r="A75" t="s">
        <v>204</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35">
      <c r="A76" t="s">
        <v>205</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35">
      <c r="A77" t="s">
        <v>206</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35">
      <c r="A78" t="s">
        <v>207</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35">
      <c r="A79" t="s">
        <v>208</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35">
      <c r="A80" t="s">
        <v>209</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35">
      <c r="A81" t="s">
        <v>210</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35">
      <c r="A82" t="s">
        <v>211</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35">
      <c r="A83" t="s">
        <v>212</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35">
      <c r="A84" t="s">
        <v>213</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35">
      <c r="A85" t="s">
        <v>214</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35">
      <c r="A86" t="s">
        <v>215</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35">
      <c r="A87" t="s">
        <v>216</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35">
      <c r="A88" t="s">
        <v>217</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35">
      <c r="A89" t="s">
        <v>218</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35">
      <c r="A90" t="s">
        <v>219</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35">
      <c r="A91" t="s">
        <v>220</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35">
      <c r="A92" t="s">
        <v>221</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35">
      <c r="A93" t="s">
        <v>222</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35">
      <c r="A94" t="s">
        <v>223</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35">
      <c r="A95" t="s">
        <v>224</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35">
      <c r="A96" t="s">
        <v>225</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35">
      <c r="A97" t="s">
        <v>226</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35">
      <c r="A98" t="s">
        <v>227</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35">
      <c r="A99" t="s">
        <v>228</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35">
      <c r="A100" t="s">
        <v>229</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35">
      <c r="A101" t="s">
        <v>230</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35">
      <c r="A102" t="s">
        <v>231</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35">
      <c r="A103" t="s">
        <v>232</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35">
      <c r="A104" t="s">
        <v>233</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35">
      <c r="A105" t="s">
        <v>234</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35">
      <c r="A106" t="s">
        <v>235</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35">
      <c r="A107" t="s">
        <v>236</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35">
      <c r="A108" t="s">
        <v>237</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35">
      <c r="A109" t="s">
        <v>238</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35">
      <c r="A110" t="s">
        <v>239</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35">
      <c r="A111" t="s">
        <v>240</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35">
      <c r="A112" t="s">
        <v>241</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35">
      <c r="A113" t="s">
        <v>242</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35">
      <c r="A114" t="s">
        <v>243</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35">
      <c r="A115" t="s">
        <v>244</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35">
      <c r="A116" t="s">
        <v>245</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35">
      <c r="A117" t="s">
        <v>246</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35">
      <c r="A118" t="s">
        <v>247</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35">
      <c r="A119" t="s">
        <v>248</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35">
      <c r="A120" t="s">
        <v>249</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8348-42CA-43DA-AC5F-0789187B464B}">
  <sheetPr codeName="Sheet8">
    <tabColor theme="9" tint="0.39997558519241921"/>
  </sheetPr>
  <dimension ref="A1:P11"/>
  <sheetViews>
    <sheetView topLeftCell="A2" zoomScaleNormal="100" workbookViewId="0">
      <selection activeCell="I6" sqref="I6"/>
    </sheetView>
  </sheetViews>
  <sheetFormatPr defaultColWidth="9.1796875" defaultRowHeight="12.5" x14ac:dyDescent="0.25"/>
  <cols>
    <col min="1" max="5" width="9.1796875" style="163"/>
    <col min="6" max="6" width="32" style="163" customWidth="1"/>
    <col min="7" max="14" width="9.1796875" style="163"/>
    <col min="15" max="15" width="9.1796875" style="163" customWidth="1"/>
    <col min="16" max="16" width="9.453125" style="163" customWidth="1"/>
    <col min="17" max="16384" width="9.1796875" style="163"/>
  </cols>
  <sheetData>
    <row r="1" spans="1:16" ht="23" x14ac:dyDescent="0.5">
      <c r="A1" s="162" t="s">
        <v>289</v>
      </c>
      <c r="B1" s="162"/>
      <c r="C1" s="162"/>
      <c r="D1" s="162"/>
      <c r="E1" s="162"/>
      <c r="F1" s="162"/>
      <c r="G1" s="162"/>
      <c r="H1" s="162"/>
      <c r="I1" s="162"/>
      <c r="J1" s="162"/>
      <c r="K1" s="162"/>
      <c r="L1" s="162"/>
      <c r="M1" s="162"/>
      <c r="N1" s="162"/>
      <c r="O1" s="162"/>
      <c r="P1" s="162"/>
    </row>
    <row r="2" spans="1:16" ht="169.5" customHeight="1" x14ac:dyDescent="0.25">
      <c r="A2" s="356" t="s">
        <v>290</v>
      </c>
      <c r="B2" s="356"/>
      <c r="C2" s="356"/>
      <c r="D2" s="356"/>
      <c r="E2" s="356"/>
      <c r="F2" s="356"/>
      <c r="G2" s="356"/>
      <c r="H2" s="356"/>
      <c r="I2" s="356"/>
      <c r="J2" s="356"/>
      <c r="K2" s="356"/>
      <c r="L2" s="356"/>
      <c r="M2" s="356"/>
      <c r="N2" s="164"/>
      <c r="O2" s="164"/>
      <c r="P2" s="164"/>
    </row>
    <row r="3" spans="1:16" ht="15" customHeight="1" thickBot="1" x14ac:dyDescent="0.3">
      <c r="A3" s="165"/>
      <c r="B3" s="166"/>
      <c r="C3" s="166"/>
      <c r="D3" s="166"/>
      <c r="E3" s="166"/>
      <c r="F3" s="166"/>
      <c r="G3" s="166"/>
      <c r="H3" s="166"/>
      <c r="I3" s="166"/>
      <c r="J3" s="166"/>
      <c r="K3" s="166"/>
      <c r="L3" s="166"/>
      <c r="M3" s="166"/>
      <c r="N3" s="164"/>
      <c r="O3" s="164"/>
      <c r="P3" s="164"/>
    </row>
    <row r="4" spans="1:16" ht="14" x14ac:dyDescent="0.3">
      <c r="A4" s="357" t="s">
        <v>291</v>
      </c>
      <c r="B4" s="358"/>
      <c r="C4" s="358"/>
      <c r="D4" s="358"/>
      <c r="E4" s="358"/>
      <c r="F4" s="359"/>
      <c r="G4" s="167"/>
      <c r="H4" s="167"/>
    </row>
    <row r="5" spans="1:16" x14ac:dyDescent="0.25">
      <c r="A5" s="360" t="s">
        <v>292</v>
      </c>
      <c r="B5" s="361"/>
      <c r="C5" s="361"/>
      <c r="D5" s="361"/>
      <c r="E5" s="361"/>
      <c r="F5" s="362"/>
      <c r="G5" s="168"/>
      <c r="H5" s="168"/>
    </row>
    <row r="6" spans="1:16" x14ac:dyDescent="0.25">
      <c r="A6" s="363" t="s">
        <v>293</v>
      </c>
      <c r="B6" s="364"/>
      <c r="C6" s="364"/>
      <c r="D6" s="364"/>
      <c r="E6" s="364"/>
      <c r="F6" s="365"/>
      <c r="G6" s="169"/>
      <c r="H6" s="169"/>
    </row>
    <row r="7" spans="1:16" ht="12.75" customHeight="1" x14ac:dyDescent="0.25">
      <c r="A7" s="366" t="s">
        <v>294</v>
      </c>
      <c r="B7" s="367"/>
      <c r="C7" s="367"/>
      <c r="D7" s="367"/>
      <c r="E7" s="367"/>
      <c r="F7" s="368"/>
      <c r="G7" s="170"/>
      <c r="H7" s="170"/>
    </row>
    <row r="8" spans="1:16" ht="12.75" customHeight="1" x14ac:dyDescent="0.25">
      <c r="A8" s="369" t="s">
        <v>295</v>
      </c>
      <c r="B8" s="370"/>
      <c r="C8" s="370"/>
      <c r="D8" s="370"/>
      <c r="E8" s="370"/>
      <c r="F8" s="371"/>
      <c r="G8" s="170"/>
      <c r="H8" s="170"/>
    </row>
    <row r="9" spans="1:16" ht="13.5" customHeight="1" thickBot="1" x14ac:dyDescent="0.3">
      <c r="A9" s="350" t="s">
        <v>296</v>
      </c>
      <c r="B9" s="351"/>
      <c r="C9" s="351"/>
      <c r="D9" s="351"/>
      <c r="E9" s="351"/>
      <c r="F9" s="352"/>
      <c r="G9" s="171"/>
      <c r="H9" s="171"/>
    </row>
    <row r="11" spans="1:16" ht="56.25" customHeight="1" x14ac:dyDescent="0.25">
      <c r="A11" s="353" t="s">
        <v>297</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9749-D325-4C40-BDD5-37B4F412179C}">
  <sheetPr codeName="Sheet9">
    <tabColor theme="9" tint="0.39997558519241921"/>
  </sheetPr>
  <dimension ref="A1:G22"/>
  <sheetViews>
    <sheetView zoomScaleNormal="100" workbookViewId="0">
      <selection activeCell="C21" sqref="C21"/>
    </sheetView>
  </sheetViews>
  <sheetFormatPr defaultColWidth="9.1796875" defaultRowHeight="14" x14ac:dyDescent="0.3"/>
  <cols>
    <col min="1" max="1" width="26" style="172" customWidth="1"/>
    <col min="2" max="2" width="31.54296875" style="172" customWidth="1"/>
    <col min="3" max="3" width="9.1796875" style="172"/>
    <col min="4" max="4" width="13.1796875" style="172" customWidth="1"/>
    <col min="5" max="16384" width="9.1796875" style="172"/>
  </cols>
  <sheetData>
    <row r="1" spans="1:7" ht="23" x14ac:dyDescent="0.5">
      <c r="A1" s="162" t="s">
        <v>298</v>
      </c>
      <c r="B1" s="162"/>
    </row>
    <row r="3" spans="1:7" x14ac:dyDescent="0.3">
      <c r="A3" s="173" t="s">
        <v>299</v>
      </c>
      <c r="B3" s="174"/>
      <c r="C3" s="175"/>
      <c r="D3" s="175"/>
    </row>
    <row r="4" spans="1:7" ht="30" customHeight="1" thickBot="1" x14ac:dyDescent="0.35">
      <c r="A4" s="372" t="s">
        <v>300</v>
      </c>
      <c r="B4" s="372"/>
      <c r="C4" s="175"/>
      <c r="D4" s="175"/>
    </row>
    <row r="5" spans="1:7" x14ac:dyDescent="0.3">
      <c r="A5" s="176" t="s">
        <v>301</v>
      </c>
      <c r="B5" s="177">
        <v>69376.489999999991</v>
      </c>
      <c r="C5" s="175"/>
      <c r="D5" s="175"/>
    </row>
    <row r="6" spans="1:7" ht="14.5" thickBot="1" x14ac:dyDescent="0.35">
      <c r="A6" s="178" t="s">
        <v>302</v>
      </c>
      <c r="B6" s="179">
        <v>13109.25</v>
      </c>
      <c r="C6" s="175"/>
      <c r="D6" s="175"/>
    </row>
    <row r="7" spans="1:7" ht="14.5" thickBot="1" x14ac:dyDescent="0.35">
      <c r="A7" s="175"/>
      <c r="B7" s="175"/>
      <c r="C7" s="175"/>
      <c r="D7" s="175"/>
    </row>
    <row r="8" spans="1:7" ht="15" customHeight="1" thickTop="1" x14ac:dyDescent="0.3">
      <c r="A8" s="377" t="s">
        <v>303</v>
      </c>
      <c r="B8" s="378"/>
      <c r="C8" s="379"/>
      <c r="D8" s="230"/>
      <c r="E8" s="200"/>
      <c r="F8" s="225">
        <v>2</v>
      </c>
      <c r="G8" s="223"/>
    </row>
    <row r="9" spans="1:7" ht="15" customHeight="1" thickBot="1" x14ac:dyDescent="0.35">
      <c r="A9" s="380"/>
      <c r="B9" s="381"/>
      <c r="C9" s="382"/>
      <c r="D9" s="231"/>
      <c r="F9" s="226">
        <v>2</v>
      </c>
      <c r="G9" s="224"/>
    </row>
    <row r="10" spans="1:7" ht="14.5" thickTop="1" x14ac:dyDescent="0.3">
      <c r="A10" s="175"/>
      <c r="B10" s="175"/>
      <c r="C10" s="175"/>
      <c r="D10" s="175"/>
    </row>
    <row r="11" spans="1:7" ht="14.5" thickBot="1" x14ac:dyDescent="0.35">
      <c r="A11" s="173" t="s">
        <v>304</v>
      </c>
      <c r="B11" s="174"/>
      <c r="C11" s="175"/>
      <c r="D11" s="175"/>
    </row>
    <row r="12" spans="1:7" ht="14.5" thickBot="1" x14ac:dyDescent="0.35">
      <c r="A12" s="176" t="s">
        <v>301</v>
      </c>
      <c r="B12" s="373" t="s">
        <v>305</v>
      </c>
      <c r="C12" s="190">
        <f>IF(F9=1,B5/0.6,B5)</f>
        <v>69376.489999999991</v>
      </c>
      <c r="D12" s="375" t="str">
        <f>IF(F9=1, "Convertido de fuste a arbol entero","No es necesario convertir" )</f>
        <v>No es necesario convertir</v>
      </c>
      <c r="E12" s="376"/>
      <c r="F12" s="376"/>
    </row>
    <row r="13" spans="1:7" ht="15.75" customHeight="1" thickBot="1" x14ac:dyDescent="0.35">
      <c r="A13" s="178" t="s">
        <v>302</v>
      </c>
      <c r="B13" s="374"/>
      <c r="C13" s="190">
        <f>IF(F9=1,B6/0.6,B6)</f>
        <v>13109.25</v>
      </c>
      <c r="D13" s="375"/>
      <c r="E13" s="376"/>
      <c r="F13" s="376"/>
    </row>
    <row r="14" spans="1:7" x14ac:dyDescent="0.3">
      <c r="A14" s="175"/>
      <c r="B14" s="175"/>
      <c r="C14" s="175"/>
      <c r="D14" s="175"/>
    </row>
    <row r="15" spans="1:7" ht="14.5" thickBot="1" x14ac:dyDescent="0.35">
      <c r="A15" s="173" t="s">
        <v>306</v>
      </c>
      <c r="B15" s="174"/>
      <c r="C15" s="175"/>
      <c r="D15" s="175"/>
    </row>
    <row r="16" spans="1:7" x14ac:dyDescent="0.3">
      <c r="A16" s="176" t="s">
        <v>301</v>
      </c>
      <c r="B16" s="180" t="s">
        <v>307</v>
      </c>
      <c r="C16" s="190">
        <f>0.53*C12</f>
        <v>36769.539699999994</v>
      </c>
      <c r="D16" s="175"/>
    </row>
    <row r="17" spans="1:4" ht="14.5" thickBot="1" x14ac:dyDescent="0.35">
      <c r="A17" s="178" t="s">
        <v>302</v>
      </c>
      <c r="B17" s="181" t="s">
        <v>308</v>
      </c>
      <c r="C17" s="191">
        <f>0.725*C13</f>
        <v>9504.2062499999993</v>
      </c>
      <c r="D17" s="216"/>
    </row>
    <row r="18" spans="1:4" x14ac:dyDescent="0.3">
      <c r="A18" s="175"/>
      <c r="B18" s="175"/>
      <c r="C18" s="175"/>
      <c r="D18" s="175"/>
    </row>
    <row r="19" spans="1:4" ht="14.5" thickBot="1" x14ac:dyDescent="0.35">
      <c r="A19" s="173" t="s">
        <v>309</v>
      </c>
      <c r="B19" s="174"/>
      <c r="C19" s="175"/>
      <c r="D19" s="175"/>
    </row>
    <row r="20" spans="1:4" x14ac:dyDescent="0.3">
      <c r="A20" s="176" t="s">
        <v>310</v>
      </c>
      <c r="B20" s="180" t="s">
        <v>311</v>
      </c>
      <c r="C20" s="190">
        <f>IFERROR(SUM(C16:C17)*0.5,"")</f>
        <v>23136.872974999998</v>
      </c>
      <c r="D20" s="175"/>
    </row>
    <row r="21" spans="1:4" ht="16" thickBot="1" x14ac:dyDescent="0.45">
      <c r="A21" s="178" t="s">
        <v>312</v>
      </c>
      <c r="B21" s="181" t="s">
        <v>313</v>
      </c>
      <c r="C21" s="192">
        <f>IFERROR(C20*3.67,"")</f>
        <v>84912.323818249992</v>
      </c>
      <c r="D21" s="204" t="s">
        <v>314</v>
      </c>
    </row>
    <row r="22" spans="1:4" x14ac:dyDescent="0.3">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146050</xdr:rowOff>
                  </from>
                  <to>
                    <xdr:col>3</xdr:col>
                    <xdr:colOff>647700</xdr:colOff>
                    <xdr:row>8</xdr:row>
                    <xdr:rowOff>69850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127000</xdr:rowOff>
                  </from>
                  <to>
                    <xdr:col>4</xdr:col>
                    <xdr:colOff>336550</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8D29-4836-4CB7-B616-AF7FA88302BA}">
  <sheetPr codeName="Sheet10">
    <tabColor theme="9" tint="0.39997558519241921"/>
  </sheetPr>
  <dimension ref="A1:I23"/>
  <sheetViews>
    <sheetView zoomScale="90" zoomScaleNormal="90" workbookViewId="0">
      <selection activeCell="B5" sqref="B5"/>
    </sheetView>
  </sheetViews>
  <sheetFormatPr defaultColWidth="9.1796875" defaultRowHeight="14" x14ac:dyDescent="0.3"/>
  <cols>
    <col min="1" max="1" width="44.453125" style="172" customWidth="1"/>
    <col min="2" max="2" width="12.81640625" style="172" customWidth="1"/>
    <col min="3" max="3" width="16.54296875" style="172" customWidth="1"/>
    <col min="4" max="4" width="17.1796875" style="172" customWidth="1"/>
    <col min="5" max="5" width="16" style="172" customWidth="1"/>
    <col min="6" max="6" width="16.54296875" style="172" customWidth="1"/>
    <col min="7" max="7" width="14" style="172" customWidth="1"/>
    <col min="8" max="16384" width="9.1796875" style="172"/>
  </cols>
  <sheetData>
    <row r="1" spans="1:9" ht="23" x14ac:dyDescent="0.5">
      <c r="A1" s="162" t="s">
        <v>315</v>
      </c>
      <c r="B1" s="162"/>
    </row>
    <row r="3" spans="1:9" x14ac:dyDescent="0.3">
      <c r="A3" s="173" t="s">
        <v>316</v>
      </c>
      <c r="B3" s="174"/>
      <c r="C3" s="175"/>
      <c r="D3" s="175"/>
    </row>
    <row r="4" spans="1:9" ht="56.25" customHeight="1" thickBot="1" x14ac:dyDescent="0.35">
      <c r="A4" s="385" t="s">
        <v>317</v>
      </c>
      <c r="B4" s="385"/>
      <c r="C4" s="385"/>
      <c r="D4" s="385"/>
      <c r="E4" s="385"/>
      <c r="F4" s="385"/>
      <c r="G4" s="385"/>
    </row>
    <row r="5" spans="1:9" x14ac:dyDescent="0.3">
      <c r="A5" s="219" t="s">
        <v>318</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3">
      <c r="A6" s="220" t="s">
        <v>319</v>
      </c>
      <c r="B6" s="218">
        <v>57233.027999999998</v>
      </c>
      <c r="C6" s="218">
        <v>65978.27</v>
      </c>
      <c r="D6" s="218">
        <v>61518.51</v>
      </c>
      <c r="E6" s="218">
        <v>61692.345000000001</v>
      </c>
      <c r="F6" s="218">
        <v>65947.41</v>
      </c>
      <c r="G6" s="221">
        <v>64349.422999999995</v>
      </c>
    </row>
    <row r="7" spans="1:9" ht="14.5" thickBot="1" x14ac:dyDescent="0.35">
      <c r="A7" s="197" t="s">
        <v>302</v>
      </c>
      <c r="B7" s="222">
        <v>10806.15</v>
      </c>
      <c r="C7" s="222">
        <v>10407.380000000001</v>
      </c>
      <c r="D7" s="222">
        <v>11896.606</v>
      </c>
      <c r="E7" s="222">
        <v>4927.5649999999996</v>
      </c>
      <c r="F7" s="222">
        <v>14415.112799999999</v>
      </c>
      <c r="G7" s="227">
        <v>7984.9059999999999</v>
      </c>
    </row>
    <row r="8" spans="1:9" ht="14.5" thickBot="1" x14ac:dyDescent="0.35">
      <c r="A8" s="200"/>
      <c r="B8" s="200"/>
      <c r="C8" s="200"/>
      <c r="D8" s="200"/>
      <c r="E8" s="200"/>
      <c r="F8" s="223"/>
      <c r="G8" s="223"/>
      <c r="H8" s="224"/>
      <c r="I8" s="224"/>
    </row>
    <row r="9" spans="1:9" ht="15.65" customHeight="1" thickTop="1" x14ac:dyDescent="0.3">
      <c r="A9" s="377" t="s">
        <v>303</v>
      </c>
      <c r="B9" s="378"/>
      <c r="C9" s="379"/>
      <c r="D9" s="228"/>
      <c r="E9" s="200"/>
      <c r="F9" s="225">
        <v>2</v>
      </c>
      <c r="G9" s="223"/>
      <c r="H9" s="224"/>
      <c r="I9" s="224"/>
    </row>
    <row r="10" spans="1:9" ht="14.5" thickBot="1" x14ac:dyDescent="0.35">
      <c r="A10" s="380"/>
      <c r="B10" s="381"/>
      <c r="C10" s="382"/>
      <c r="D10" s="229"/>
      <c r="F10" s="224"/>
      <c r="G10" s="224"/>
      <c r="H10" s="224"/>
      <c r="I10" s="224"/>
    </row>
    <row r="11" spans="1:9" ht="14.5" thickTop="1" x14ac:dyDescent="0.3">
      <c r="A11" s="194"/>
      <c r="B11" s="175"/>
      <c r="C11" s="175"/>
      <c r="D11" s="175"/>
      <c r="F11" s="224"/>
      <c r="G11" s="224"/>
      <c r="H11" s="224"/>
      <c r="I11" s="224"/>
    </row>
    <row r="12" spans="1:9" ht="14.5" thickBot="1" x14ac:dyDescent="0.35">
      <c r="A12" s="195" t="s">
        <v>320</v>
      </c>
      <c r="B12" s="174"/>
      <c r="C12" s="175"/>
      <c r="D12" s="175"/>
      <c r="F12" s="224"/>
      <c r="G12" s="224"/>
      <c r="H12" s="224"/>
    </row>
    <row r="13" spans="1:9" ht="15" customHeight="1" x14ac:dyDescent="0.3">
      <c r="A13" s="196" t="s">
        <v>319</v>
      </c>
      <c r="B13" s="386" t="s">
        <v>321</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35">
      <c r="A14" s="197" t="s">
        <v>302</v>
      </c>
      <c r="B14" s="388"/>
      <c r="C14" s="389"/>
      <c r="D14" s="217">
        <f>IF(F9=1,IFERROR(SUM(B7:G7)/COUNTIF(B7:G7,"&gt;=0")/0.6,0),IFERROR(SUM(B7:G7)/COUNTIF(B7:G7,"&gt;=0"),0))</f>
        <v>10072.953300000001</v>
      </c>
      <c r="E14" s="375"/>
      <c r="F14" s="376"/>
      <c r="G14" s="376"/>
    </row>
    <row r="15" spans="1:9" x14ac:dyDescent="0.3">
      <c r="A15" s="194"/>
      <c r="B15" s="200"/>
      <c r="C15" s="200"/>
      <c r="D15" s="200"/>
    </row>
    <row r="16" spans="1:9" ht="14.5" thickBot="1" x14ac:dyDescent="0.35">
      <c r="A16" s="195" t="s">
        <v>322</v>
      </c>
      <c r="B16" s="201"/>
      <c r="C16" s="200"/>
      <c r="D16" s="200"/>
    </row>
    <row r="17" spans="1:5" x14ac:dyDescent="0.3">
      <c r="A17" s="196" t="s">
        <v>319</v>
      </c>
      <c r="B17" s="384" t="s">
        <v>307</v>
      </c>
      <c r="C17" s="384"/>
      <c r="D17" s="198">
        <f>0.53*D13</f>
        <v>33276.843763333338</v>
      </c>
      <c r="E17" s="175"/>
    </row>
    <row r="18" spans="1:5" ht="14.5" thickBot="1" x14ac:dyDescent="0.35">
      <c r="A18" s="197" t="s">
        <v>302</v>
      </c>
      <c r="B18" s="383" t="s">
        <v>308</v>
      </c>
      <c r="C18" s="383"/>
      <c r="D18" s="199">
        <f>0.725*D14</f>
        <v>7302.8911425000006</v>
      </c>
      <c r="E18" s="216"/>
    </row>
    <row r="19" spans="1:5" x14ac:dyDescent="0.3">
      <c r="A19" s="194"/>
      <c r="B19" s="200"/>
      <c r="C19" s="200"/>
      <c r="D19" s="200"/>
    </row>
    <row r="20" spans="1:5" ht="14.5" thickBot="1" x14ac:dyDescent="0.35">
      <c r="A20" s="195" t="s">
        <v>309</v>
      </c>
      <c r="B20" s="201"/>
      <c r="C20" s="200"/>
      <c r="D20" s="200"/>
    </row>
    <row r="21" spans="1:5" ht="15" customHeight="1" x14ac:dyDescent="0.3">
      <c r="A21" s="196" t="s">
        <v>310</v>
      </c>
      <c r="B21" s="384" t="s">
        <v>311</v>
      </c>
      <c r="C21" s="384"/>
      <c r="D21" s="198">
        <f>IFERROR(SUM(D17:D18)*0.5,"")</f>
        <v>20289.867452916667</v>
      </c>
    </row>
    <row r="22" spans="1:5" ht="16" thickBot="1" x14ac:dyDescent="0.35">
      <c r="A22" s="197" t="s">
        <v>312</v>
      </c>
      <c r="B22" s="383" t="s">
        <v>313</v>
      </c>
      <c r="C22" s="383"/>
      <c r="D22" s="202">
        <f>IFERROR(D21*3.67,"")</f>
        <v>74463.81355220417</v>
      </c>
      <c r="E22" s="204" t="s">
        <v>323</v>
      </c>
    </row>
    <row r="23" spans="1:5" x14ac:dyDescent="0.3">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146050</xdr:rowOff>
                  </from>
                  <to>
                    <xdr:col>3</xdr:col>
                    <xdr:colOff>685800</xdr:colOff>
                    <xdr:row>9</xdr:row>
                    <xdr:rowOff>50800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146050</xdr:rowOff>
                  </from>
                  <to>
                    <xdr:col>4</xdr:col>
                    <xdr:colOff>114300</xdr:colOff>
                    <xdr:row>10</xdr:row>
                    <xdr:rowOff>50800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7312CC-DF37-4EAC-931A-2E2FDFE66AE4}">
  <ds:schemaRefs>
    <ds:schemaRef ds:uri="http://schemas.microsoft.com/sharepoint/v3/contenttype/forms"/>
  </ds:schemaRefs>
</ds:datastoreItem>
</file>

<file path=customXml/itemProps2.xml><?xml version="1.0" encoding="utf-8"?>
<ds:datastoreItem xmlns:ds="http://schemas.openxmlformats.org/officeDocument/2006/customXml" ds:itemID="{4714C1C8-36E1-4228-83E0-95CD91C170F8}">
  <ds:schemaRefs>
    <ds:schemaRef ds:uri="http://purl.org/dc/dcmitype/"/>
    <ds:schemaRef ds:uri="http://purl.org/dc/terms/"/>
    <ds:schemaRef ds:uri="9ac66888-105e-4e54-b39a-e32c984792c9"/>
    <ds:schemaRef ds:uri="http://schemas.microsoft.com/sharepoint/v4"/>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04007bd9-c0d9-4f27-a4ad-edebe377049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Calculo'!Print_Area</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GERÓNIMO QUIÑONEZ BARRAZA</cp:lastModifiedBy>
  <cp:revision/>
  <dcterms:created xsi:type="dcterms:W3CDTF">2012-07-16T23:12:37Z</dcterms:created>
  <dcterms:modified xsi:type="dcterms:W3CDTF">2023-11-24T22:29:43Z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