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13_ncr:1_{48CDC7A4-4081-4D09-BC53-5D5510D13F5D}" xr6:coauthVersionLast="47" xr6:coauthVersionMax="47" xr10:uidLastSave="{00000000-0000-0000-0000-000000000000}"/>
  <bookViews>
    <workbookView xWindow="108" yWindow="192" windowWidth="11760" windowHeight="12240" tabRatio="756" xr2:uid="{00000000-000D-0000-FFFF-FFFF00000000}"/>
  </bookViews>
  <sheets>
    <sheet name="ER" sheetId="20" r:id="rId1"/>
    <sheet name="LFG Data" sheetId="15" r:id="rId2"/>
    <sheet name="Daily values for LFG flow, CH4" sheetId="25" r:id="rId3"/>
    <sheet name="Baseline Emission_LFG" sheetId="16" r:id="rId4"/>
    <sheet name="Electricity Generation" sheetId="19" r:id="rId5"/>
    <sheet name="Exante Values from PDD" sheetId="24" r:id="rId6"/>
  </sheets>
  <definedNames>
    <definedName name="_ftn1" localSheetId="0">ER!$E$37</definedName>
    <definedName name="_ftnref1" localSheetId="0">ER!$E$34</definedName>
  </definedNames>
  <calcPr calcId="191029"/>
</workbook>
</file>

<file path=xl/calcChain.xml><?xml version="1.0" encoding="utf-8"?>
<calcChain xmlns="http://schemas.openxmlformats.org/spreadsheetml/2006/main">
  <c r="E36" i="16" l="1"/>
  <c r="T31" i="15"/>
  <c r="T32" i="15"/>
  <c r="D32" i="20"/>
  <c r="F4" i="16"/>
  <c r="E25" i="16" s="1"/>
  <c r="G25" i="16" s="1"/>
  <c r="B28" i="19"/>
  <c r="E28" i="19"/>
  <c r="D28" i="19"/>
  <c r="R15" i="19"/>
  <c r="P15" i="19"/>
  <c r="Q15" i="19"/>
  <c r="O15" i="19"/>
  <c r="V47" i="19"/>
  <c r="V46" i="19"/>
  <c r="V45" i="19"/>
  <c r="V38" i="19"/>
  <c r="V37" i="19"/>
  <c r="V36" i="19"/>
  <c r="S37" i="19"/>
  <c r="S38" i="19"/>
  <c r="S39" i="19"/>
  <c r="S40" i="19"/>
  <c r="S41" i="19"/>
  <c r="S42" i="19"/>
  <c r="S43" i="19"/>
  <c r="S44" i="19"/>
  <c r="S45" i="19"/>
  <c r="S46" i="19"/>
  <c r="S47" i="19"/>
  <c r="S48" i="19"/>
  <c r="S49" i="19"/>
  <c r="S50" i="19"/>
  <c r="S51" i="19"/>
  <c r="S52" i="19"/>
  <c r="S53" i="19"/>
  <c r="S54" i="19"/>
  <c r="S55" i="19"/>
  <c r="S56" i="19"/>
  <c r="S57" i="19"/>
  <c r="S58" i="19"/>
  <c r="S59" i="19"/>
  <c r="S60" i="19"/>
  <c r="S61" i="19"/>
  <c r="S62" i="19"/>
  <c r="S63" i="19"/>
  <c r="S64" i="19"/>
  <c r="S65" i="19"/>
  <c r="S66" i="19"/>
  <c r="R37" i="19"/>
  <c r="R38" i="19"/>
  <c r="R39" i="19"/>
  <c r="R40" i="19"/>
  <c r="R41" i="19"/>
  <c r="R42" i="19"/>
  <c r="R43" i="19"/>
  <c r="R44" i="19"/>
  <c r="R45" i="19"/>
  <c r="R46" i="19"/>
  <c r="R47" i="19"/>
  <c r="R48" i="19"/>
  <c r="R49" i="19"/>
  <c r="R50" i="19"/>
  <c r="R51" i="19"/>
  <c r="R52" i="19"/>
  <c r="R53" i="19"/>
  <c r="R54" i="19"/>
  <c r="R55" i="19"/>
  <c r="R56" i="19"/>
  <c r="R57" i="19"/>
  <c r="R58" i="19"/>
  <c r="R59" i="19"/>
  <c r="R60" i="19"/>
  <c r="R61" i="19"/>
  <c r="R62" i="19"/>
  <c r="R63" i="19"/>
  <c r="R64" i="19"/>
  <c r="R65" i="19"/>
  <c r="R66" i="19"/>
  <c r="S36" i="19"/>
  <c r="R36" i="19"/>
  <c r="Q66" i="19"/>
  <c r="P66" i="19"/>
  <c r="O66" i="19"/>
  <c r="N66" i="19"/>
  <c r="D29" i="19"/>
  <c r="F5" i="16"/>
  <c r="D15" i="19" l="1"/>
  <c r="S31" i="15"/>
  <c r="S32" i="15"/>
  <c r="R31" i="15"/>
  <c r="R32" i="15"/>
  <c r="P32" i="15"/>
  <c r="P31" i="15"/>
  <c r="N31" i="15"/>
  <c r="M33" i="15"/>
  <c r="N33" i="15"/>
  <c r="M32" i="15"/>
  <c r="M31" i="15"/>
  <c r="S17" i="15"/>
  <c r="S33" i="15"/>
  <c r="G2" i="15"/>
  <c r="E2" i="15"/>
  <c r="K10" i="15"/>
  <c r="J17" i="15"/>
  <c r="L4" i="20"/>
  <c r="L5" i="20"/>
  <c r="L3" i="20"/>
  <c r="K5" i="20"/>
  <c r="K4" i="20"/>
  <c r="D10" i="24"/>
  <c r="P18" i="15"/>
  <c r="P19" i="15"/>
  <c r="P20" i="15"/>
  <c r="P21" i="15"/>
  <c r="P22" i="15"/>
  <c r="P23" i="15"/>
  <c r="P24" i="15"/>
  <c r="P25" i="15"/>
  <c r="P17" i="15"/>
  <c r="P12" i="15"/>
  <c r="R20" i="15" s="1"/>
  <c r="S20" i="15" s="1"/>
  <c r="N16" i="15"/>
  <c r="L32" i="15"/>
  <c r="K9" i="20"/>
  <c r="K10" i="20"/>
  <c r="I8" i="20"/>
  <c r="E23" i="19"/>
  <c r="E22" i="19"/>
  <c r="E21" i="19"/>
  <c r="E20" i="19"/>
  <c r="E19" i="19"/>
  <c r="E18" i="19"/>
  <c r="E17" i="19"/>
  <c r="E16" i="19"/>
  <c r="D23" i="19"/>
  <c r="D22" i="19"/>
  <c r="D21" i="19"/>
  <c r="D20" i="19"/>
  <c r="D19" i="19"/>
  <c r="D18" i="19"/>
  <c r="D17" i="19"/>
  <c r="D16" i="19"/>
  <c r="E15" i="19"/>
  <c r="E5" i="19"/>
  <c r="F28" i="15"/>
  <c r="B28" i="15"/>
  <c r="F27" i="15"/>
  <c r="B27" i="15"/>
  <c r="F26" i="15"/>
  <c r="B26" i="15"/>
  <c r="F25" i="15"/>
  <c r="B25" i="15"/>
  <c r="F24" i="15"/>
  <c r="B24" i="15"/>
  <c r="F23" i="15"/>
  <c r="B23" i="15"/>
  <c r="F22" i="15"/>
  <c r="B22" i="15"/>
  <c r="F21" i="15"/>
  <c r="B21" i="15"/>
  <c r="F20" i="15"/>
  <c r="B20" i="15"/>
  <c r="F19" i="15"/>
  <c r="B19" i="15"/>
  <c r="F18" i="15"/>
  <c r="B18" i="15"/>
  <c r="F17" i="15"/>
  <c r="B17" i="15"/>
  <c r="F16" i="15"/>
  <c r="B16" i="15"/>
  <c r="F15" i="15"/>
  <c r="B15" i="15"/>
  <c r="F14" i="15"/>
  <c r="B14" i="15"/>
  <c r="F13" i="15"/>
  <c r="B13" i="15"/>
  <c r="F12" i="15"/>
  <c r="B12" i="15"/>
  <c r="F11" i="15"/>
  <c r="B11" i="15"/>
  <c r="F10" i="15"/>
  <c r="B10" i="15"/>
  <c r="F9" i="15"/>
  <c r="B9" i="15"/>
  <c r="F8" i="15"/>
  <c r="B8" i="15"/>
  <c r="F7" i="15"/>
  <c r="B7" i="15"/>
  <c r="F6" i="15"/>
  <c r="B6" i="15"/>
  <c r="F5" i="15"/>
  <c r="B5" i="15"/>
  <c r="F4" i="15"/>
  <c r="B4" i="15"/>
  <c r="F3" i="15"/>
  <c r="B3" i="15"/>
  <c r="R17" i="15" l="1"/>
  <c r="R25" i="15"/>
  <c r="S25" i="15" s="1"/>
  <c r="R21" i="15"/>
  <c r="S21" i="15" s="1"/>
  <c r="R19" i="15"/>
  <c r="S19" i="15" s="1"/>
  <c r="R23" i="15"/>
  <c r="S23" i="15" s="1"/>
  <c r="R18" i="15"/>
  <c r="S18" i="15" s="1"/>
  <c r="R22" i="15"/>
  <c r="S22" i="15" s="1"/>
  <c r="R24" i="15"/>
  <c r="S24" i="15" s="1"/>
  <c r="K3" i="20"/>
  <c r="E10" i="24" l="1"/>
  <c r="E18" i="24"/>
  <c r="E19" i="24"/>
  <c r="E20" i="24"/>
  <c r="E21" i="24"/>
  <c r="E22" i="24"/>
  <c r="E23" i="24"/>
  <c r="E17" i="24"/>
  <c r="A23" i="19" l="1" a="1"/>
  <c r="A23" i="19" s="1"/>
  <c r="B30" i="20"/>
  <c r="F10" i="24"/>
  <c r="G31" i="20" l="1"/>
  <c r="G30" i="20"/>
  <c r="G27" i="20"/>
  <c r="D3" i="24"/>
  <c r="E29" i="19"/>
  <c r="E30" i="19"/>
  <c r="E31" i="19"/>
  <c r="E32" i="19"/>
  <c r="E33" i="19"/>
  <c r="E34" i="19"/>
  <c r="E35" i="19"/>
  <c r="E36" i="19"/>
  <c r="I7" i="20" l="1"/>
  <c r="E11" i="20"/>
  <c r="G29" i="19"/>
  <c r="D30" i="19"/>
  <c r="G30" i="19" s="1"/>
  <c r="D31" i="19"/>
  <c r="G31" i="19" s="1"/>
  <c r="D32" i="19"/>
  <c r="G32" i="19" s="1"/>
  <c r="D33" i="19"/>
  <c r="G33" i="19" s="1"/>
  <c r="D34" i="19"/>
  <c r="G34" i="19" s="1"/>
  <c r="D35" i="19"/>
  <c r="G35" i="19" s="1"/>
  <c r="D36" i="19"/>
  <c r="G36" i="19" s="1"/>
  <c r="G28" i="19"/>
  <c r="G19" i="19"/>
  <c r="B36" i="19"/>
  <c r="A36" i="19" s="1" a="1"/>
  <c r="A36" i="19" s="1"/>
  <c r="C36" i="19"/>
  <c r="K32" i="15"/>
  <c r="L31" i="15"/>
  <c r="K31" i="15"/>
  <c r="F265" i="15"/>
  <c r="F266" i="15"/>
  <c r="F267" i="15"/>
  <c r="F268" i="15"/>
  <c r="F269" i="15"/>
  <c r="F270" i="15"/>
  <c r="F271" i="15"/>
  <c r="E4" i="19" l="1"/>
  <c r="E6" i="19"/>
  <c r="F17" i="19"/>
  <c r="G22" i="19"/>
  <c r="F19" i="19"/>
  <c r="F20" i="19"/>
  <c r="F21" i="19"/>
  <c r="F18" i="19"/>
  <c r="G15" i="19"/>
  <c r="D4" i="19" s="1"/>
  <c r="G21" i="19"/>
  <c r="G18" i="19"/>
  <c r="G17" i="19"/>
  <c r="F36" i="19"/>
  <c r="G23" i="19"/>
  <c r="G16" i="19"/>
  <c r="F23" i="19"/>
  <c r="F22" i="19"/>
  <c r="F15" i="19"/>
  <c r="G20" i="19"/>
  <c r="F16" i="19"/>
  <c r="J18" i="15"/>
  <c r="J19" i="15"/>
  <c r="J20" i="15"/>
  <c r="J21" i="15"/>
  <c r="J22" i="15"/>
  <c r="J23" i="15"/>
  <c r="J24" i="15"/>
  <c r="J25" i="15"/>
  <c r="B265" i="15"/>
  <c r="B266" i="15"/>
  <c r="B267" i="15"/>
  <c r="B268" i="15"/>
  <c r="B269" i="15"/>
  <c r="B270" i="15"/>
  <c r="B271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46" i="15"/>
  <c r="B47" i="15"/>
  <c r="B48" i="15"/>
  <c r="B49" i="15"/>
  <c r="B50" i="15"/>
  <c r="B51" i="15"/>
  <c r="B52" i="15"/>
  <c r="B53" i="15"/>
  <c r="B54" i="15"/>
  <c r="B55" i="15"/>
  <c r="B56" i="15"/>
  <c r="B57" i="15"/>
  <c r="B58" i="15"/>
  <c r="B59" i="15"/>
  <c r="B60" i="15"/>
  <c r="B61" i="15"/>
  <c r="B62" i="15"/>
  <c r="B63" i="15"/>
  <c r="B64" i="15"/>
  <c r="B65" i="15"/>
  <c r="B66" i="15"/>
  <c r="B67" i="15"/>
  <c r="B68" i="15"/>
  <c r="B69" i="15"/>
  <c r="B70" i="15"/>
  <c r="B71" i="15"/>
  <c r="B72" i="15"/>
  <c r="B73" i="15"/>
  <c r="B74" i="15"/>
  <c r="B75" i="15"/>
  <c r="B76" i="15"/>
  <c r="B77" i="15"/>
  <c r="B78" i="15"/>
  <c r="B79" i="15"/>
  <c r="B80" i="15"/>
  <c r="B81" i="15"/>
  <c r="B82" i="15"/>
  <c r="B83" i="15"/>
  <c r="B84" i="15"/>
  <c r="B85" i="15"/>
  <c r="B86" i="15"/>
  <c r="B87" i="15"/>
  <c r="B88" i="15"/>
  <c r="B89" i="15"/>
  <c r="B90" i="15"/>
  <c r="B91" i="15"/>
  <c r="B92" i="15"/>
  <c r="B93" i="15"/>
  <c r="B94" i="15"/>
  <c r="B95" i="15"/>
  <c r="B96" i="15"/>
  <c r="B97" i="15"/>
  <c r="B98" i="15"/>
  <c r="B99" i="15"/>
  <c r="B100" i="15"/>
  <c r="B101" i="15"/>
  <c r="B102" i="15"/>
  <c r="B103" i="15"/>
  <c r="B104" i="15"/>
  <c r="B105" i="15"/>
  <c r="B106" i="15"/>
  <c r="B107" i="15"/>
  <c r="B108" i="15"/>
  <c r="B109" i="15"/>
  <c r="B110" i="15"/>
  <c r="B111" i="15"/>
  <c r="B112" i="15"/>
  <c r="B113" i="15"/>
  <c r="B114" i="15"/>
  <c r="B115" i="15"/>
  <c r="B116" i="15"/>
  <c r="B117" i="15"/>
  <c r="B118" i="15"/>
  <c r="B119" i="15"/>
  <c r="B120" i="15"/>
  <c r="B121" i="15"/>
  <c r="B122" i="15"/>
  <c r="B123" i="15"/>
  <c r="B124" i="15"/>
  <c r="B125" i="15"/>
  <c r="B126" i="15"/>
  <c r="B127" i="15"/>
  <c r="B128" i="15"/>
  <c r="B129" i="15"/>
  <c r="B130" i="15"/>
  <c r="B131" i="15"/>
  <c r="B132" i="15"/>
  <c r="B133" i="15"/>
  <c r="B134" i="15"/>
  <c r="B135" i="15"/>
  <c r="B136" i="15"/>
  <c r="B137" i="15"/>
  <c r="B138" i="15"/>
  <c r="B139" i="15"/>
  <c r="B140" i="15"/>
  <c r="B141" i="15"/>
  <c r="B142" i="15"/>
  <c r="B143" i="15"/>
  <c r="B144" i="15"/>
  <c r="B145" i="15"/>
  <c r="B146" i="15"/>
  <c r="B147" i="15"/>
  <c r="B148" i="15"/>
  <c r="B149" i="15"/>
  <c r="B150" i="15"/>
  <c r="B151" i="15"/>
  <c r="B152" i="15"/>
  <c r="B153" i="15"/>
  <c r="B154" i="15"/>
  <c r="B155" i="15"/>
  <c r="B156" i="15"/>
  <c r="B157" i="15"/>
  <c r="B158" i="15"/>
  <c r="B159" i="15"/>
  <c r="B160" i="15"/>
  <c r="B161" i="15"/>
  <c r="B162" i="15"/>
  <c r="B163" i="15"/>
  <c r="B164" i="15"/>
  <c r="B165" i="15"/>
  <c r="B166" i="15"/>
  <c r="B167" i="15"/>
  <c r="B168" i="15"/>
  <c r="B169" i="15"/>
  <c r="B170" i="15"/>
  <c r="B171" i="15"/>
  <c r="B172" i="15"/>
  <c r="B173" i="15"/>
  <c r="B174" i="15"/>
  <c r="B175" i="15"/>
  <c r="B176" i="15"/>
  <c r="B177" i="15"/>
  <c r="B178" i="15"/>
  <c r="B179" i="15"/>
  <c r="B180" i="15"/>
  <c r="B181" i="15"/>
  <c r="B182" i="15"/>
  <c r="B183" i="15"/>
  <c r="B184" i="15"/>
  <c r="B185" i="15"/>
  <c r="B186" i="15"/>
  <c r="B187" i="15"/>
  <c r="B188" i="15"/>
  <c r="B189" i="15"/>
  <c r="B190" i="15"/>
  <c r="B191" i="15"/>
  <c r="B192" i="15"/>
  <c r="B193" i="15"/>
  <c r="B194" i="15"/>
  <c r="B195" i="15"/>
  <c r="B196" i="15"/>
  <c r="B197" i="15"/>
  <c r="B198" i="15"/>
  <c r="B199" i="15"/>
  <c r="B200" i="15"/>
  <c r="B201" i="15"/>
  <c r="B202" i="15"/>
  <c r="B203" i="15"/>
  <c r="B204" i="15"/>
  <c r="B205" i="15"/>
  <c r="B206" i="15"/>
  <c r="B207" i="15"/>
  <c r="B208" i="15"/>
  <c r="B209" i="15"/>
  <c r="B210" i="15"/>
  <c r="B211" i="15"/>
  <c r="B212" i="15"/>
  <c r="B213" i="15"/>
  <c r="B214" i="15"/>
  <c r="B215" i="15"/>
  <c r="B216" i="15"/>
  <c r="B217" i="15"/>
  <c r="B218" i="15"/>
  <c r="B219" i="15"/>
  <c r="B220" i="15"/>
  <c r="B221" i="15"/>
  <c r="B222" i="15"/>
  <c r="B223" i="15"/>
  <c r="B224" i="15"/>
  <c r="B225" i="15"/>
  <c r="B226" i="15"/>
  <c r="B227" i="15"/>
  <c r="B228" i="15"/>
  <c r="B229" i="15"/>
  <c r="B230" i="15"/>
  <c r="B231" i="15"/>
  <c r="B232" i="15"/>
  <c r="B233" i="15"/>
  <c r="B234" i="15"/>
  <c r="B235" i="15"/>
  <c r="B236" i="15"/>
  <c r="B237" i="15"/>
  <c r="B238" i="15"/>
  <c r="B239" i="15"/>
  <c r="B240" i="15"/>
  <c r="B241" i="15"/>
  <c r="B242" i="15"/>
  <c r="B243" i="15"/>
  <c r="B244" i="15"/>
  <c r="B245" i="15"/>
  <c r="B246" i="15"/>
  <c r="B247" i="15"/>
  <c r="B248" i="15"/>
  <c r="B249" i="15"/>
  <c r="B250" i="15"/>
  <c r="B251" i="15"/>
  <c r="B252" i="15"/>
  <c r="B253" i="15"/>
  <c r="B254" i="15"/>
  <c r="B255" i="15"/>
  <c r="B256" i="15"/>
  <c r="B257" i="15"/>
  <c r="B258" i="15"/>
  <c r="B259" i="15"/>
  <c r="B260" i="15"/>
  <c r="B261" i="15"/>
  <c r="B262" i="15"/>
  <c r="B263" i="15"/>
  <c r="B264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23" i="15"/>
  <c r="F124" i="15"/>
  <c r="F125" i="15"/>
  <c r="F126" i="15"/>
  <c r="F127" i="15"/>
  <c r="F128" i="15"/>
  <c r="F129" i="15"/>
  <c r="F130" i="15"/>
  <c r="F131" i="15"/>
  <c r="F132" i="15"/>
  <c r="F133" i="15"/>
  <c r="F134" i="15"/>
  <c r="F135" i="15"/>
  <c r="F136" i="15"/>
  <c r="F137" i="15"/>
  <c r="F138" i="15"/>
  <c r="F139" i="15"/>
  <c r="F140" i="15"/>
  <c r="F141" i="15"/>
  <c r="F142" i="15"/>
  <c r="F143" i="15"/>
  <c r="F144" i="15"/>
  <c r="F145" i="15"/>
  <c r="F146" i="15"/>
  <c r="F147" i="15"/>
  <c r="F148" i="15"/>
  <c r="F149" i="15"/>
  <c r="F150" i="15"/>
  <c r="F151" i="15"/>
  <c r="F152" i="15"/>
  <c r="F153" i="15"/>
  <c r="F154" i="15"/>
  <c r="F155" i="15"/>
  <c r="F156" i="15"/>
  <c r="F157" i="15"/>
  <c r="F158" i="15"/>
  <c r="F159" i="15"/>
  <c r="F160" i="15"/>
  <c r="F161" i="15"/>
  <c r="F162" i="15"/>
  <c r="F163" i="15"/>
  <c r="F164" i="15"/>
  <c r="F165" i="15"/>
  <c r="F166" i="15"/>
  <c r="F167" i="15"/>
  <c r="F168" i="15"/>
  <c r="F169" i="15"/>
  <c r="F170" i="15"/>
  <c r="F171" i="15"/>
  <c r="F172" i="15"/>
  <c r="F173" i="15"/>
  <c r="F174" i="15"/>
  <c r="F175" i="15"/>
  <c r="F176" i="15"/>
  <c r="F177" i="15"/>
  <c r="F178" i="15"/>
  <c r="F179" i="15"/>
  <c r="F180" i="15"/>
  <c r="F181" i="15"/>
  <c r="F182" i="15"/>
  <c r="F183" i="15"/>
  <c r="F184" i="15"/>
  <c r="F185" i="15"/>
  <c r="F186" i="15"/>
  <c r="F187" i="15"/>
  <c r="F188" i="15"/>
  <c r="F189" i="15"/>
  <c r="F190" i="15"/>
  <c r="F191" i="15"/>
  <c r="F192" i="15"/>
  <c r="F193" i="15"/>
  <c r="F194" i="15"/>
  <c r="F195" i="15"/>
  <c r="F196" i="15"/>
  <c r="F197" i="15"/>
  <c r="F198" i="15"/>
  <c r="F199" i="15"/>
  <c r="F200" i="15"/>
  <c r="F201" i="15"/>
  <c r="F202" i="15"/>
  <c r="F203" i="15"/>
  <c r="F204" i="15"/>
  <c r="F205" i="15"/>
  <c r="F206" i="15"/>
  <c r="F207" i="15"/>
  <c r="F208" i="15"/>
  <c r="F209" i="15"/>
  <c r="F210" i="15"/>
  <c r="F211" i="15"/>
  <c r="F212" i="15"/>
  <c r="F213" i="15"/>
  <c r="F214" i="15"/>
  <c r="F215" i="15"/>
  <c r="F216" i="15"/>
  <c r="F217" i="15"/>
  <c r="F218" i="15"/>
  <c r="F219" i="15"/>
  <c r="F220" i="15"/>
  <c r="F221" i="15"/>
  <c r="F222" i="15"/>
  <c r="F223" i="15"/>
  <c r="F224" i="15"/>
  <c r="F225" i="15"/>
  <c r="F226" i="15"/>
  <c r="F227" i="15"/>
  <c r="F228" i="15"/>
  <c r="F229" i="15"/>
  <c r="F230" i="15"/>
  <c r="F231" i="15"/>
  <c r="F232" i="15"/>
  <c r="F233" i="15"/>
  <c r="F234" i="15"/>
  <c r="F235" i="15"/>
  <c r="F236" i="15"/>
  <c r="F237" i="15"/>
  <c r="F238" i="15"/>
  <c r="F239" i="15"/>
  <c r="F240" i="15"/>
  <c r="F241" i="15"/>
  <c r="F242" i="15"/>
  <c r="F243" i="15"/>
  <c r="F244" i="15"/>
  <c r="F245" i="15"/>
  <c r="F246" i="15"/>
  <c r="F247" i="15"/>
  <c r="F248" i="15"/>
  <c r="F249" i="15"/>
  <c r="F250" i="15"/>
  <c r="F251" i="15"/>
  <c r="F252" i="15"/>
  <c r="F253" i="15"/>
  <c r="F254" i="15"/>
  <c r="F255" i="15"/>
  <c r="F256" i="15"/>
  <c r="F257" i="15"/>
  <c r="F258" i="15"/>
  <c r="F259" i="15"/>
  <c r="F260" i="15"/>
  <c r="F261" i="15"/>
  <c r="F262" i="15"/>
  <c r="F263" i="15"/>
  <c r="F264" i="15"/>
  <c r="F2" i="15"/>
  <c r="K9" i="15" s="1"/>
  <c r="K11" i="15" s="1"/>
  <c r="D5" i="19" l="1"/>
  <c r="B11" i="24"/>
  <c r="G10" i="24"/>
  <c r="N32" i="15" l="1"/>
  <c r="F35" i="19"/>
  <c r="C35" i="19"/>
  <c r="B35" i="19"/>
  <c r="F34" i="19"/>
  <c r="C34" i="19"/>
  <c r="B34" i="19"/>
  <c r="F33" i="19"/>
  <c r="C33" i="19"/>
  <c r="B33" i="19"/>
  <c r="F32" i="19"/>
  <c r="C32" i="19"/>
  <c r="B32" i="19"/>
  <c r="F31" i="19"/>
  <c r="C31" i="19"/>
  <c r="B31" i="19"/>
  <c r="F30" i="19"/>
  <c r="C30" i="19"/>
  <c r="B30" i="19"/>
  <c r="F29" i="19"/>
  <c r="C29" i="19"/>
  <c r="B29" i="19"/>
  <c r="F28" i="19"/>
  <c r="C28" i="19"/>
  <c r="K5" i="19"/>
  <c r="K7" i="19" s="1"/>
  <c r="A4" i="19" a="1"/>
  <c r="A4" i="19" s="1"/>
  <c r="C3" i="19"/>
  <c r="B3" i="19"/>
  <c r="J3" i="15"/>
  <c r="C2" i="15" s="1"/>
  <c r="D2" i="15" s="1"/>
  <c r="B2" i="15"/>
  <c r="C28" i="15" l="1"/>
  <c r="D28" i="15" s="1"/>
  <c r="C25" i="15"/>
  <c r="D25" i="15" s="1"/>
  <c r="C21" i="15"/>
  <c r="D21" i="15" s="1"/>
  <c r="C17" i="15"/>
  <c r="D17" i="15" s="1"/>
  <c r="C13" i="15"/>
  <c r="D13" i="15" s="1"/>
  <c r="C9" i="15"/>
  <c r="D9" i="15" s="1"/>
  <c r="C5" i="15"/>
  <c r="D5" i="15" s="1"/>
  <c r="C22" i="15"/>
  <c r="D22" i="15" s="1"/>
  <c r="C18" i="15"/>
  <c r="D18" i="15" s="1"/>
  <c r="C14" i="15"/>
  <c r="D14" i="15" s="1"/>
  <c r="C10" i="15"/>
  <c r="D10" i="15" s="1"/>
  <c r="C6" i="15"/>
  <c r="D6" i="15" s="1"/>
  <c r="C26" i="15"/>
  <c r="D26" i="15" s="1"/>
  <c r="C27" i="15"/>
  <c r="D27" i="15" s="1"/>
  <c r="C23" i="15"/>
  <c r="D23" i="15" s="1"/>
  <c r="C19" i="15"/>
  <c r="D19" i="15" s="1"/>
  <c r="C15" i="15"/>
  <c r="D15" i="15" s="1"/>
  <c r="C11" i="15"/>
  <c r="D11" i="15" s="1"/>
  <c r="C7" i="15"/>
  <c r="D7" i="15" s="1"/>
  <c r="C3" i="15"/>
  <c r="D3" i="15" s="1"/>
  <c r="C24" i="15"/>
  <c r="D24" i="15" s="1"/>
  <c r="C20" i="15"/>
  <c r="D20" i="15" s="1"/>
  <c r="C16" i="15"/>
  <c r="D16" i="15" s="1"/>
  <c r="C12" i="15"/>
  <c r="D12" i="15" s="1"/>
  <c r="C8" i="15"/>
  <c r="D8" i="15" s="1"/>
  <c r="C4" i="15"/>
  <c r="D4" i="15" s="1"/>
  <c r="C265" i="15"/>
  <c r="D265" i="15" s="1"/>
  <c r="C271" i="15"/>
  <c r="D271" i="15" s="1"/>
  <c r="C266" i="15"/>
  <c r="D266" i="15" s="1"/>
  <c r="C270" i="15"/>
  <c r="D270" i="15" s="1"/>
  <c r="C267" i="15"/>
  <c r="D267" i="15" s="1"/>
  <c r="C268" i="15"/>
  <c r="D268" i="15" s="1"/>
  <c r="C269" i="15"/>
  <c r="D269" i="15" s="1"/>
  <c r="T19" i="15"/>
  <c r="T25" i="15"/>
  <c r="T24" i="15"/>
  <c r="T18" i="15"/>
  <c r="T23" i="15"/>
  <c r="T20" i="15"/>
  <c r="T17" i="15"/>
  <c r="T22" i="15"/>
  <c r="T21" i="15"/>
  <c r="I18" i="19"/>
  <c r="J18" i="19" s="1"/>
  <c r="E21" i="20" s="1"/>
  <c r="I19" i="19"/>
  <c r="J19" i="19" s="1"/>
  <c r="E22" i="20" s="1"/>
  <c r="I22" i="19"/>
  <c r="J22" i="19" s="1"/>
  <c r="E25" i="20" s="1"/>
  <c r="I20" i="19"/>
  <c r="J20" i="19" s="1"/>
  <c r="E23" i="20" s="1"/>
  <c r="I36" i="19"/>
  <c r="J36" i="19" s="1"/>
  <c r="H26" i="20" s="1"/>
  <c r="I26" i="20" s="1"/>
  <c r="I21" i="19"/>
  <c r="J21" i="19" s="1"/>
  <c r="E24" i="20" s="1"/>
  <c r="I15" i="19"/>
  <c r="J15" i="19" s="1"/>
  <c r="I23" i="19"/>
  <c r="J23" i="19" s="1"/>
  <c r="E26" i="20" s="1"/>
  <c r="I16" i="19"/>
  <c r="J16" i="19" s="1"/>
  <c r="E19" i="20" s="1"/>
  <c r="I17" i="19"/>
  <c r="J17" i="19" s="1"/>
  <c r="A14" i="19" a="1"/>
  <c r="A21" i="19" s="1"/>
  <c r="D5" i="16"/>
  <c r="E5" i="16" s="1"/>
  <c r="D4" i="16"/>
  <c r="E4" i="16" s="1"/>
  <c r="D9" i="16"/>
  <c r="E9" i="16" s="1"/>
  <c r="D7" i="16"/>
  <c r="E7" i="16" s="1"/>
  <c r="D6" i="16"/>
  <c r="E6" i="16" s="1"/>
  <c r="D12" i="16"/>
  <c r="E12" i="16" s="1"/>
  <c r="D11" i="16"/>
  <c r="E11" i="16" s="1"/>
  <c r="D10" i="16"/>
  <c r="E10" i="16" s="1"/>
  <c r="D8" i="16"/>
  <c r="I35" i="19"/>
  <c r="J35" i="19" s="1"/>
  <c r="H25" i="20" s="1"/>
  <c r="I25" i="20" s="1"/>
  <c r="I33" i="19"/>
  <c r="J33" i="19" s="1"/>
  <c r="H23" i="20" s="1"/>
  <c r="I23" i="20" s="1"/>
  <c r="I31" i="19"/>
  <c r="J31" i="19" s="1"/>
  <c r="H21" i="20" s="1"/>
  <c r="I21" i="20" s="1"/>
  <c r="I29" i="19"/>
  <c r="J29" i="19" s="1"/>
  <c r="H19" i="20" s="1"/>
  <c r="I34" i="19"/>
  <c r="J34" i="19" s="1"/>
  <c r="H24" i="20" s="1"/>
  <c r="I24" i="20" s="1"/>
  <c r="I32" i="19"/>
  <c r="J32" i="19" s="1"/>
  <c r="H22" i="20" s="1"/>
  <c r="I22" i="20" s="1"/>
  <c r="I30" i="19"/>
  <c r="J30" i="19" s="1"/>
  <c r="H20" i="20" s="1"/>
  <c r="I28" i="19"/>
  <c r="J28" i="19" s="1"/>
  <c r="H18" i="20" s="1"/>
  <c r="A5" i="19"/>
  <c r="C263" i="15"/>
  <c r="D263" i="15" s="1"/>
  <c r="C259" i="15"/>
  <c r="D259" i="15" s="1"/>
  <c r="C255" i="15"/>
  <c r="D255" i="15" s="1"/>
  <c r="C251" i="15"/>
  <c r="D251" i="15" s="1"/>
  <c r="C247" i="15"/>
  <c r="D247" i="15" s="1"/>
  <c r="C243" i="15"/>
  <c r="D243" i="15" s="1"/>
  <c r="C239" i="15"/>
  <c r="D239" i="15" s="1"/>
  <c r="C235" i="15"/>
  <c r="D235" i="15" s="1"/>
  <c r="C231" i="15"/>
  <c r="D231" i="15" s="1"/>
  <c r="C227" i="15"/>
  <c r="D227" i="15" s="1"/>
  <c r="C223" i="15"/>
  <c r="D223" i="15" s="1"/>
  <c r="C219" i="15"/>
  <c r="D219" i="15" s="1"/>
  <c r="C215" i="15"/>
  <c r="D215" i="15" s="1"/>
  <c r="C211" i="15"/>
  <c r="D211" i="15" s="1"/>
  <c r="C207" i="15"/>
  <c r="D207" i="15" s="1"/>
  <c r="C203" i="15"/>
  <c r="D203" i="15" s="1"/>
  <c r="C199" i="15"/>
  <c r="D199" i="15" s="1"/>
  <c r="C195" i="15"/>
  <c r="D195" i="15" s="1"/>
  <c r="C191" i="15"/>
  <c r="D191" i="15" s="1"/>
  <c r="C187" i="15"/>
  <c r="D187" i="15" s="1"/>
  <c r="C183" i="15"/>
  <c r="D183" i="15" s="1"/>
  <c r="C179" i="15"/>
  <c r="D179" i="15" s="1"/>
  <c r="C175" i="15"/>
  <c r="D175" i="15" s="1"/>
  <c r="C171" i="15"/>
  <c r="D171" i="15" s="1"/>
  <c r="C167" i="15"/>
  <c r="D167" i="15" s="1"/>
  <c r="C163" i="15"/>
  <c r="D163" i="15" s="1"/>
  <c r="C159" i="15"/>
  <c r="D159" i="15" s="1"/>
  <c r="C155" i="15"/>
  <c r="D155" i="15" s="1"/>
  <c r="C151" i="15"/>
  <c r="D151" i="15" s="1"/>
  <c r="C262" i="15"/>
  <c r="D262" i="15" s="1"/>
  <c r="C258" i="15"/>
  <c r="D258" i="15" s="1"/>
  <c r="C254" i="15"/>
  <c r="D254" i="15" s="1"/>
  <c r="C250" i="15"/>
  <c r="D250" i="15" s="1"/>
  <c r="C246" i="15"/>
  <c r="D246" i="15" s="1"/>
  <c r="C242" i="15"/>
  <c r="D242" i="15" s="1"/>
  <c r="C238" i="15"/>
  <c r="D238" i="15" s="1"/>
  <c r="C234" i="15"/>
  <c r="D234" i="15" s="1"/>
  <c r="C230" i="15"/>
  <c r="D230" i="15" s="1"/>
  <c r="C226" i="15"/>
  <c r="D226" i="15" s="1"/>
  <c r="C222" i="15"/>
  <c r="D222" i="15" s="1"/>
  <c r="C218" i="15"/>
  <c r="D218" i="15" s="1"/>
  <c r="C214" i="15"/>
  <c r="D214" i="15" s="1"/>
  <c r="C210" i="15"/>
  <c r="D210" i="15" s="1"/>
  <c r="C206" i="15"/>
  <c r="D206" i="15" s="1"/>
  <c r="C202" i="15"/>
  <c r="D202" i="15" s="1"/>
  <c r="C198" i="15"/>
  <c r="D198" i="15" s="1"/>
  <c r="C194" i="15"/>
  <c r="D194" i="15" s="1"/>
  <c r="C190" i="15"/>
  <c r="D190" i="15" s="1"/>
  <c r="C186" i="15"/>
  <c r="D186" i="15" s="1"/>
  <c r="C182" i="15"/>
  <c r="D182" i="15" s="1"/>
  <c r="C178" i="15"/>
  <c r="D178" i="15" s="1"/>
  <c r="C174" i="15"/>
  <c r="D174" i="15" s="1"/>
  <c r="C170" i="15"/>
  <c r="D170" i="15" s="1"/>
  <c r="C264" i="15"/>
  <c r="D264" i="15" s="1"/>
  <c r="C160" i="15"/>
  <c r="D160" i="15" s="1"/>
  <c r="C158" i="15"/>
  <c r="D158" i="15" s="1"/>
  <c r="C157" i="15"/>
  <c r="D157" i="15" s="1"/>
  <c r="C149" i="15"/>
  <c r="D149" i="15" s="1"/>
  <c r="C145" i="15"/>
  <c r="D145" i="15" s="1"/>
  <c r="C141" i="15"/>
  <c r="D141" i="15" s="1"/>
  <c r="C137" i="15"/>
  <c r="D137" i="15" s="1"/>
  <c r="C133" i="15"/>
  <c r="D133" i="15" s="1"/>
  <c r="C129" i="15"/>
  <c r="D129" i="15" s="1"/>
  <c r="C125" i="15"/>
  <c r="D125" i="15" s="1"/>
  <c r="C121" i="15"/>
  <c r="D121" i="15" s="1"/>
  <c r="C117" i="15"/>
  <c r="D117" i="15" s="1"/>
  <c r="C113" i="15"/>
  <c r="D113" i="15" s="1"/>
  <c r="C109" i="15"/>
  <c r="D109" i="15" s="1"/>
  <c r="C105" i="15"/>
  <c r="D105" i="15" s="1"/>
  <c r="C101" i="15"/>
  <c r="D101" i="15" s="1"/>
  <c r="C257" i="15"/>
  <c r="D257" i="15" s="1"/>
  <c r="C256" i="15"/>
  <c r="D256" i="15" s="1"/>
  <c r="C249" i="15"/>
  <c r="D249" i="15" s="1"/>
  <c r="C248" i="15"/>
  <c r="D248" i="15" s="1"/>
  <c r="C241" i="15"/>
  <c r="D241" i="15" s="1"/>
  <c r="C240" i="15"/>
  <c r="D240" i="15" s="1"/>
  <c r="C233" i="15"/>
  <c r="D233" i="15" s="1"/>
  <c r="C232" i="15"/>
  <c r="D232" i="15" s="1"/>
  <c r="C225" i="15"/>
  <c r="D225" i="15" s="1"/>
  <c r="C224" i="15"/>
  <c r="D224" i="15" s="1"/>
  <c r="C217" i="15"/>
  <c r="D217" i="15" s="1"/>
  <c r="C216" i="15"/>
  <c r="D216" i="15" s="1"/>
  <c r="C209" i="15"/>
  <c r="D209" i="15" s="1"/>
  <c r="C208" i="15"/>
  <c r="D208" i="15" s="1"/>
  <c r="C201" i="15"/>
  <c r="D201" i="15" s="1"/>
  <c r="C200" i="15"/>
  <c r="D200" i="15" s="1"/>
  <c r="C193" i="15"/>
  <c r="D193" i="15" s="1"/>
  <c r="C192" i="15"/>
  <c r="D192" i="15" s="1"/>
  <c r="C185" i="15"/>
  <c r="D185" i="15" s="1"/>
  <c r="C184" i="15"/>
  <c r="D184" i="15" s="1"/>
  <c r="C177" i="15"/>
  <c r="D177" i="15" s="1"/>
  <c r="C176" i="15"/>
  <c r="D176" i="15" s="1"/>
  <c r="C169" i="15"/>
  <c r="D169" i="15" s="1"/>
  <c r="C156" i="15"/>
  <c r="D156" i="15" s="1"/>
  <c r="C154" i="15"/>
  <c r="D154" i="15" s="1"/>
  <c r="C153" i="15"/>
  <c r="D153" i="15" s="1"/>
  <c r="C148" i="15"/>
  <c r="D148" i="15" s="1"/>
  <c r="C144" i="15"/>
  <c r="D144" i="15" s="1"/>
  <c r="C140" i="15"/>
  <c r="D140" i="15" s="1"/>
  <c r="C136" i="15"/>
  <c r="D136" i="15" s="1"/>
  <c r="C132" i="15"/>
  <c r="D132" i="15" s="1"/>
  <c r="C128" i="15"/>
  <c r="D128" i="15" s="1"/>
  <c r="C124" i="15"/>
  <c r="D124" i="15" s="1"/>
  <c r="C120" i="15"/>
  <c r="D120" i="15" s="1"/>
  <c r="C116" i="15"/>
  <c r="D116" i="15" s="1"/>
  <c r="C112" i="15"/>
  <c r="D112" i="15" s="1"/>
  <c r="C108" i="15"/>
  <c r="D108" i="15" s="1"/>
  <c r="C104" i="15"/>
  <c r="D104" i="15" s="1"/>
  <c r="C100" i="15"/>
  <c r="D100" i="15" s="1"/>
  <c r="C261" i="15"/>
  <c r="D261" i="15" s="1"/>
  <c r="C260" i="15"/>
  <c r="D260" i="15" s="1"/>
  <c r="C253" i="15"/>
  <c r="D253" i="15" s="1"/>
  <c r="C252" i="15"/>
  <c r="D252" i="15" s="1"/>
  <c r="C245" i="15"/>
  <c r="D245" i="15" s="1"/>
  <c r="C244" i="15"/>
  <c r="D244" i="15" s="1"/>
  <c r="C237" i="15"/>
  <c r="D237" i="15" s="1"/>
  <c r="C236" i="15"/>
  <c r="D236" i="15" s="1"/>
  <c r="C229" i="15"/>
  <c r="D229" i="15" s="1"/>
  <c r="C228" i="15"/>
  <c r="D228" i="15" s="1"/>
  <c r="C221" i="15"/>
  <c r="D221" i="15" s="1"/>
  <c r="C220" i="15"/>
  <c r="D220" i="15" s="1"/>
  <c r="C213" i="15"/>
  <c r="D213" i="15" s="1"/>
  <c r="C212" i="15"/>
  <c r="D212" i="15" s="1"/>
  <c r="C205" i="15"/>
  <c r="D205" i="15" s="1"/>
  <c r="C204" i="15"/>
  <c r="D204" i="15" s="1"/>
  <c r="C197" i="15"/>
  <c r="D197" i="15" s="1"/>
  <c r="C196" i="15"/>
  <c r="D196" i="15" s="1"/>
  <c r="C189" i="15"/>
  <c r="D189" i="15" s="1"/>
  <c r="C188" i="15"/>
  <c r="D188" i="15" s="1"/>
  <c r="C181" i="15"/>
  <c r="D181" i="15" s="1"/>
  <c r="C180" i="15"/>
  <c r="D180" i="15" s="1"/>
  <c r="C173" i="15"/>
  <c r="D173" i="15" s="1"/>
  <c r="C172" i="15"/>
  <c r="D172" i="15" s="1"/>
  <c r="C164" i="15"/>
  <c r="D164" i="15" s="1"/>
  <c r="C162" i="15"/>
  <c r="D162" i="15" s="1"/>
  <c r="C161" i="15"/>
  <c r="D161" i="15" s="1"/>
  <c r="C150" i="15"/>
  <c r="D150" i="15" s="1"/>
  <c r="C146" i="15"/>
  <c r="D146" i="15" s="1"/>
  <c r="C142" i="15"/>
  <c r="D142" i="15" s="1"/>
  <c r="C138" i="15"/>
  <c r="D138" i="15" s="1"/>
  <c r="C134" i="15"/>
  <c r="D134" i="15" s="1"/>
  <c r="C130" i="15"/>
  <c r="D130" i="15" s="1"/>
  <c r="C126" i="15"/>
  <c r="D126" i="15" s="1"/>
  <c r="C122" i="15"/>
  <c r="D122" i="15" s="1"/>
  <c r="C118" i="15"/>
  <c r="D118" i="15" s="1"/>
  <c r="C114" i="15"/>
  <c r="D114" i="15" s="1"/>
  <c r="C110" i="15"/>
  <c r="D110" i="15" s="1"/>
  <c r="C106" i="15"/>
  <c r="D106" i="15" s="1"/>
  <c r="C102" i="15"/>
  <c r="D102" i="15" s="1"/>
  <c r="C168" i="15"/>
  <c r="D168" i="15" s="1"/>
  <c r="C135" i="15"/>
  <c r="D135" i="15" s="1"/>
  <c r="C119" i="15"/>
  <c r="D119" i="15" s="1"/>
  <c r="C103" i="15"/>
  <c r="D103" i="15" s="1"/>
  <c r="C99" i="15"/>
  <c r="D99" i="15" s="1"/>
  <c r="C95" i="15"/>
  <c r="D95" i="15" s="1"/>
  <c r="C91" i="15"/>
  <c r="D91" i="15" s="1"/>
  <c r="C87" i="15"/>
  <c r="D87" i="15" s="1"/>
  <c r="C83" i="15"/>
  <c r="D83" i="15" s="1"/>
  <c r="C79" i="15"/>
  <c r="D79" i="15" s="1"/>
  <c r="C75" i="15"/>
  <c r="D75" i="15" s="1"/>
  <c r="C71" i="15"/>
  <c r="D71" i="15" s="1"/>
  <c r="C67" i="15"/>
  <c r="D67" i="15" s="1"/>
  <c r="C63" i="15"/>
  <c r="D63" i="15" s="1"/>
  <c r="C59" i="15"/>
  <c r="D59" i="15" s="1"/>
  <c r="C55" i="15"/>
  <c r="D55" i="15" s="1"/>
  <c r="C51" i="15"/>
  <c r="D51" i="15" s="1"/>
  <c r="C47" i="15"/>
  <c r="D47" i="15" s="1"/>
  <c r="C43" i="15"/>
  <c r="D43" i="15" s="1"/>
  <c r="C39" i="15"/>
  <c r="D39" i="15" s="1"/>
  <c r="C35" i="15"/>
  <c r="D35" i="15" s="1"/>
  <c r="C31" i="15"/>
  <c r="D31" i="15" s="1"/>
  <c r="C165" i="15"/>
  <c r="D165" i="15" s="1"/>
  <c r="C152" i="15"/>
  <c r="D152" i="15" s="1"/>
  <c r="C139" i="15"/>
  <c r="D139" i="15" s="1"/>
  <c r="C123" i="15"/>
  <c r="D123" i="15" s="1"/>
  <c r="C107" i="15"/>
  <c r="D107" i="15" s="1"/>
  <c r="C98" i="15"/>
  <c r="D98" i="15" s="1"/>
  <c r="C94" i="15"/>
  <c r="D94" i="15" s="1"/>
  <c r="C90" i="15"/>
  <c r="D90" i="15" s="1"/>
  <c r="C86" i="15"/>
  <c r="D86" i="15" s="1"/>
  <c r="C82" i="15"/>
  <c r="D82" i="15" s="1"/>
  <c r="C78" i="15"/>
  <c r="D78" i="15" s="1"/>
  <c r="C74" i="15"/>
  <c r="D74" i="15" s="1"/>
  <c r="C70" i="15"/>
  <c r="D70" i="15" s="1"/>
  <c r="C66" i="15"/>
  <c r="D66" i="15" s="1"/>
  <c r="C62" i="15"/>
  <c r="D62" i="15" s="1"/>
  <c r="C58" i="15"/>
  <c r="D58" i="15" s="1"/>
  <c r="C54" i="15"/>
  <c r="D54" i="15" s="1"/>
  <c r="C50" i="15"/>
  <c r="D50" i="15" s="1"/>
  <c r="C46" i="15"/>
  <c r="D46" i="15" s="1"/>
  <c r="C42" i="15"/>
  <c r="D42" i="15" s="1"/>
  <c r="C38" i="15"/>
  <c r="D38" i="15" s="1"/>
  <c r="C34" i="15"/>
  <c r="D34" i="15" s="1"/>
  <c r="D30" i="15"/>
  <c r="C166" i="15"/>
  <c r="D166" i="15" s="1"/>
  <c r="C143" i="15"/>
  <c r="D143" i="15" s="1"/>
  <c r="C127" i="15"/>
  <c r="D127" i="15" s="1"/>
  <c r="C111" i="15"/>
  <c r="D111" i="15" s="1"/>
  <c r="C97" i="15"/>
  <c r="D97" i="15" s="1"/>
  <c r="C93" i="15"/>
  <c r="D93" i="15" s="1"/>
  <c r="C89" i="15"/>
  <c r="D89" i="15" s="1"/>
  <c r="C85" i="15"/>
  <c r="D85" i="15" s="1"/>
  <c r="C81" i="15"/>
  <c r="D81" i="15" s="1"/>
  <c r="C77" i="15"/>
  <c r="D77" i="15" s="1"/>
  <c r="C73" i="15"/>
  <c r="D73" i="15" s="1"/>
  <c r="C69" i="15"/>
  <c r="D69" i="15" s="1"/>
  <c r="C65" i="15"/>
  <c r="D65" i="15" s="1"/>
  <c r="C61" i="15"/>
  <c r="D61" i="15" s="1"/>
  <c r="C57" i="15"/>
  <c r="D57" i="15" s="1"/>
  <c r="C53" i="15"/>
  <c r="D53" i="15" s="1"/>
  <c r="C49" i="15"/>
  <c r="D49" i="15" s="1"/>
  <c r="C45" i="15"/>
  <c r="D45" i="15" s="1"/>
  <c r="C41" i="15"/>
  <c r="D41" i="15" s="1"/>
  <c r="C37" i="15"/>
  <c r="D37" i="15" s="1"/>
  <c r="C33" i="15"/>
  <c r="D33" i="15" s="1"/>
  <c r="C29" i="15"/>
  <c r="D29" i="15" s="1"/>
  <c r="M18" i="15" s="1"/>
  <c r="C147" i="15"/>
  <c r="D147" i="15" s="1"/>
  <c r="C131" i="15"/>
  <c r="D131" i="15" s="1"/>
  <c r="C115" i="15"/>
  <c r="D115" i="15" s="1"/>
  <c r="C96" i="15"/>
  <c r="D96" i="15" s="1"/>
  <c r="C92" i="15"/>
  <c r="D92" i="15" s="1"/>
  <c r="C88" i="15"/>
  <c r="D88" i="15" s="1"/>
  <c r="C84" i="15"/>
  <c r="D84" i="15" s="1"/>
  <c r="C80" i="15"/>
  <c r="D80" i="15" s="1"/>
  <c r="C76" i="15"/>
  <c r="D76" i="15" s="1"/>
  <c r="C72" i="15"/>
  <c r="D72" i="15" s="1"/>
  <c r="C68" i="15"/>
  <c r="D68" i="15" s="1"/>
  <c r="C64" i="15"/>
  <c r="D64" i="15" s="1"/>
  <c r="C60" i="15"/>
  <c r="D60" i="15" s="1"/>
  <c r="C56" i="15"/>
  <c r="D56" i="15" s="1"/>
  <c r="C52" i="15"/>
  <c r="D52" i="15" s="1"/>
  <c r="C48" i="15"/>
  <c r="D48" i="15" s="1"/>
  <c r="C44" i="15"/>
  <c r="D44" i="15" s="1"/>
  <c r="C40" i="15"/>
  <c r="D40" i="15" s="1"/>
  <c r="C36" i="15"/>
  <c r="D36" i="15" s="1"/>
  <c r="C32" i="15"/>
  <c r="D32" i="15" s="1"/>
  <c r="M17" i="15" l="1"/>
  <c r="K8" i="15"/>
  <c r="E18" i="20"/>
  <c r="E27" i="20" s="1"/>
  <c r="G4" i="19"/>
  <c r="E20" i="20"/>
  <c r="G5" i="19"/>
  <c r="M21" i="15"/>
  <c r="F8" i="16" s="1"/>
  <c r="E29" i="16" s="1"/>
  <c r="G29" i="16" s="1"/>
  <c r="D22" i="20" s="1"/>
  <c r="F22" i="20" s="1"/>
  <c r="J22" i="20" s="1"/>
  <c r="A27" i="19" a="1"/>
  <c r="A33" i="19" s="1"/>
  <c r="M24" i="15"/>
  <c r="F11" i="16" s="1"/>
  <c r="E32" i="16" s="1"/>
  <c r="G32" i="16" s="1"/>
  <c r="D25" i="20" s="1"/>
  <c r="F25" i="20" s="1"/>
  <c r="J25" i="20" s="1"/>
  <c r="M25" i="15"/>
  <c r="F12" i="16" s="1"/>
  <c r="E33" i="16" s="1"/>
  <c r="G33" i="16" s="1"/>
  <c r="D26" i="20" s="1"/>
  <c r="F26" i="20" s="1"/>
  <c r="J26" i="20" s="1"/>
  <c r="M23" i="15"/>
  <c r="F10" i="16" s="1"/>
  <c r="E31" i="16" s="1"/>
  <c r="G31" i="16" s="1"/>
  <c r="D24" i="20" s="1"/>
  <c r="F24" i="20" s="1"/>
  <c r="J24" i="20" s="1"/>
  <c r="M19" i="15"/>
  <c r="M22" i="15"/>
  <c r="F9" i="16" s="1"/>
  <c r="E30" i="16" s="1"/>
  <c r="G30" i="16" s="1"/>
  <c r="D23" i="20" s="1"/>
  <c r="F23" i="20" s="1"/>
  <c r="J23" i="20" s="1"/>
  <c r="I20" i="20"/>
  <c r="I31" i="20" s="1"/>
  <c r="H31" i="20"/>
  <c r="I18" i="20"/>
  <c r="H30" i="20"/>
  <c r="E31" i="20"/>
  <c r="I19" i="20"/>
  <c r="H27" i="20"/>
  <c r="A16" i="19"/>
  <c r="A19" i="19"/>
  <c r="A22" i="19"/>
  <c r="A15" i="19"/>
  <c r="A18" i="19"/>
  <c r="A14" i="19"/>
  <c r="A20" i="19"/>
  <c r="A17" i="19"/>
  <c r="M20" i="15"/>
  <c r="F7" i="16" s="1"/>
  <c r="E28" i="16" s="1"/>
  <c r="G28" i="16" s="1"/>
  <c r="D21" i="20" s="1"/>
  <c r="F21" i="20" s="1"/>
  <c r="J21" i="20" s="1"/>
  <c r="E13" i="16"/>
  <c r="D13" i="16"/>
  <c r="D14" i="16"/>
  <c r="E8" i="16"/>
  <c r="E14" i="16" s="1"/>
  <c r="E30" i="20" l="1"/>
  <c r="A30" i="19"/>
  <c r="A27" i="19"/>
  <c r="A32" i="19"/>
  <c r="A29" i="19"/>
  <c r="A28" i="19"/>
  <c r="A35" i="19"/>
  <c r="A34" i="19"/>
  <c r="A31" i="19"/>
  <c r="F6" i="16"/>
  <c r="E27" i="16" s="1"/>
  <c r="G27" i="16" s="1"/>
  <c r="D20" i="20" s="1"/>
  <c r="F20" i="20" s="1"/>
  <c r="J20" i="20" s="1"/>
  <c r="F14" i="16"/>
  <c r="E26" i="16"/>
  <c r="G26" i="16" s="1"/>
  <c r="D19" i="20" s="1"/>
  <c r="F19" i="20" s="1"/>
  <c r="J19" i="20" s="1"/>
  <c r="F13" i="16"/>
  <c r="I30" i="20"/>
  <c r="D11" i="20"/>
  <c r="D18" i="20" l="1"/>
  <c r="F4" i="19"/>
  <c r="F5" i="19"/>
  <c r="C12" i="20"/>
  <c r="F31" i="20"/>
  <c r="D31" i="20"/>
  <c r="D6" i="19"/>
  <c r="D8" i="19" s="1"/>
  <c r="F12" i="20"/>
  <c r="J31" i="20"/>
  <c r="G6" i="19"/>
  <c r="F18" i="20" l="1"/>
  <c r="J18" i="20" s="1"/>
  <c r="F11" i="20" s="1"/>
  <c r="D30" i="20"/>
  <c r="C11" i="20"/>
  <c r="F30" i="20"/>
  <c r="F6" i="19"/>
  <c r="J8" i="20"/>
  <c r="K8" i="20" s="1"/>
  <c r="D12" i="20"/>
  <c r="D13" i="20" s="1"/>
  <c r="D14" i="20" s="1"/>
  <c r="I27" i="20"/>
  <c r="G34" i="16"/>
  <c r="J30" i="20" l="1"/>
  <c r="J27" i="20"/>
  <c r="F27" i="20"/>
  <c r="D27" i="20"/>
  <c r="C13" i="20" l="1"/>
  <c r="C14" i="20" s="1"/>
  <c r="E12" i="20" l="1"/>
  <c r="F13" i="20" l="1"/>
  <c r="E13" i="20"/>
  <c r="F14" i="20" l="1"/>
  <c r="J7" i="20"/>
  <c r="K7" i="20" s="1"/>
  <c r="E14" i="20"/>
</calcChain>
</file>

<file path=xl/sharedStrings.xml><?xml version="1.0" encoding="utf-8"?>
<sst xmlns="http://schemas.openxmlformats.org/spreadsheetml/2006/main" count="203" uniqueCount="165">
  <si>
    <t>Total</t>
  </si>
  <si>
    <t>Year</t>
  </si>
  <si>
    <t>Total Emission Reductions</t>
  </si>
  <si>
    <t>Total number of crediting years</t>
  </si>
  <si>
    <t>Annual estimation of emission reductions</t>
  </si>
  <si>
    <t>Project Name</t>
  </si>
  <si>
    <t xml:space="preserve">GS ID. </t>
  </si>
  <si>
    <t>Methodology</t>
  </si>
  <si>
    <t>Latest date of the version</t>
  </si>
  <si>
    <t>Version number of sheet</t>
  </si>
  <si>
    <t>Start Date</t>
  </si>
  <si>
    <t>ACM0001 Flaring or use of landfill gas Version 19.0</t>
  </si>
  <si>
    <t>Baseline estimate</t>
  </si>
  <si>
    <t>Project estimate</t>
  </si>
  <si>
    <t>Net benefit</t>
  </si>
  <si>
    <t xml:space="preserve">Leakage </t>
  </si>
  <si>
    <t>Average</t>
  </si>
  <si>
    <t>Note - As per the deviation request, no issuance will be claimed for a period of delay in design certification renewal</t>
  </si>
  <si>
    <t>Date</t>
  </si>
  <si>
    <t>Month</t>
  </si>
  <si>
    <t>LFG total [Nm³/h]</t>
  </si>
  <si>
    <t>kg/m3</t>
  </si>
  <si>
    <t>tonnes/m3</t>
  </si>
  <si>
    <t>Methane Totalmeter [t]</t>
  </si>
  <si>
    <t>LFG destroyed in engines [m³/h]</t>
  </si>
  <si>
    <t>Methane to flare [t]</t>
  </si>
  <si>
    <t>Levels of sulphide combusted in the landfill gas engines</t>
  </si>
  <si>
    <t>Methane destroyed by flare</t>
  </si>
  <si>
    <t>Methane destroyed by PGUs</t>
  </si>
  <si>
    <t>Total 2022</t>
  </si>
  <si>
    <t>Total 2023</t>
  </si>
  <si>
    <t xml:space="preserve">Flare: In 2022 and 2023, no LFG was sent to flare, therfore there is no flow to the flare in the whole period. This results in PE_Flare = 0. </t>
  </si>
  <si>
    <t>Start date</t>
  </si>
  <si>
    <t>End date</t>
  </si>
  <si>
    <t xml:space="preserve">Total </t>
  </si>
  <si>
    <t>as per TEIAS Meter Reading Forms</t>
  </si>
  <si>
    <t>as per EPIAS Screenshots</t>
  </si>
  <si>
    <t>Difference (MWh)</t>
  </si>
  <si>
    <t>Electricity Drawed (MWh)</t>
  </si>
  <si>
    <t>Total Electricity Drawed by the plant from grid (Conservative Value) (MWh)</t>
  </si>
  <si>
    <t>BE</t>
  </si>
  <si>
    <t>PE</t>
  </si>
  <si>
    <t>ER</t>
  </si>
  <si>
    <t>Years</t>
  </si>
  <si>
    <r>
      <t>tCO</t>
    </r>
    <r>
      <rPr>
        <vertAlign val="subscript"/>
        <sz val="9"/>
        <rFont val="Verdana"/>
        <family val="2"/>
      </rPr>
      <t>2</t>
    </r>
    <r>
      <rPr>
        <sz val="9"/>
        <rFont val="Verdana"/>
        <family val="2"/>
      </rPr>
      <t>e</t>
    </r>
  </si>
  <si>
    <t>Sustainable Development Goals Targeted</t>
  </si>
  <si>
    <t>Units or Products</t>
  </si>
  <si>
    <t>Estimated Annual Average</t>
  </si>
  <si>
    <t>MWh/yr.</t>
  </si>
  <si>
    <t>Number</t>
  </si>
  <si>
    <t>SDG 7 Ensure access to affordable, reliable, sustainable and modern energy for all</t>
  </si>
  <si>
    <t>Employment generated due to the project activity</t>
  </si>
  <si>
    <t>Electricity generated
using landfill gas and biogas</t>
  </si>
  <si>
    <t>Reduction of Greenhouse
gas emission</t>
  </si>
  <si>
    <t>SDG Impact</t>
  </si>
  <si>
    <r>
      <t>Total tCO</t>
    </r>
    <r>
      <rPr>
        <vertAlign val="subscript"/>
        <sz val="9"/>
        <rFont val="Verdana"/>
        <family val="2"/>
      </rPr>
      <t>2</t>
    </r>
    <r>
      <rPr>
        <sz val="9"/>
        <rFont val="Verdana"/>
        <family val="2"/>
      </rPr>
      <t>e</t>
    </r>
  </si>
  <si>
    <t>SDG 13 Take urgent action to combat climate change and its impacts</t>
  </si>
  <si>
    <t>For current monitoring period;</t>
  </si>
  <si>
    <t>SDG 8 Promote sustained, inclusive
and sustainable economic growth, full and productive employment and descent work for all</t>
  </si>
  <si>
    <r>
      <t>F</t>
    </r>
    <r>
      <rPr>
        <b/>
        <vertAlign val="subscript"/>
        <sz val="9"/>
        <color theme="1"/>
        <rFont val="Verdana"/>
        <family val="2"/>
      </rPr>
      <t>CH4,PJ,y</t>
    </r>
  </si>
  <si>
    <r>
      <t>F</t>
    </r>
    <r>
      <rPr>
        <b/>
        <vertAlign val="subscript"/>
        <sz val="9"/>
        <color theme="1"/>
        <rFont val="Verdana"/>
        <family val="2"/>
      </rPr>
      <t>CH4,BL,y</t>
    </r>
  </si>
  <si>
    <r>
      <t xml:space="preserve">Baseline Emissions </t>
    </r>
    <r>
      <rPr>
        <sz val="9"/>
        <rFont val="Verdana"/>
        <family val="2"/>
      </rPr>
      <t>(tonnes of CO</t>
    </r>
    <r>
      <rPr>
        <vertAlign val="subscript"/>
        <sz val="9"/>
        <rFont val="Verdana"/>
        <family val="2"/>
      </rPr>
      <t>2</t>
    </r>
    <r>
      <rPr>
        <sz val="9"/>
        <rFont val="Verdana"/>
        <family val="2"/>
      </rPr>
      <t>e)</t>
    </r>
  </si>
  <si>
    <r>
      <t>Leakage Emissions</t>
    </r>
    <r>
      <rPr>
        <sz val="9"/>
        <rFont val="Verdana"/>
        <family val="2"/>
      </rPr>
      <t xml:space="preserve">                         (tonnes of CO</t>
    </r>
    <r>
      <rPr>
        <vertAlign val="subscript"/>
        <sz val="9"/>
        <rFont val="Verdana"/>
        <family val="2"/>
      </rPr>
      <t>2</t>
    </r>
    <r>
      <rPr>
        <sz val="9"/>
        <rFont val="Verdana"/>
        <family val="2"/>
      </rPr>
      <t>e)</t>
    </r>
  </si>
  <si>
    <r>
      <t xml:space="preserve">Overall Emission Reductions
</t>
    </r>
    <r>
      <rPr>
        <sz val="9"/>
        <rFont val="Verdana"/>
        <family val="2"/>
      </rPr>
      <t>(tonnes of CO</t>
    </r>
    <r>
      <rPr>
        <vertAlign val="subscript"/>
        <sz val="9"/>
        <rFont val="Verdana"/>
        <family val="2"/>
      </rPr>
      <t>2</t>
    </r>
    <r>
      <rPr>
        <sz val="9"/>
        <rFont val="Verdana"/>
        <family val="2"/>
      </rPr>
      <t>e)</t>
    </r>
  </si>
  <si>
    <r>
      <t>BE</t>
    </r>
    <r>
      <rPr>
        <b/>
        <vertAlign val="subscript"/>
        <sz val="9"/>
        <rFont val="Verdana"/>
        <family val="2"/>
      </rPr>
      <t>CH4-LFG</t>
    </r>
  </si>
  <si>
    <r>
      <t>PE</t>
    </r>
    <r>
      <rPr>
        <b/>
        <vertAlign val="subscript"/>
        <sz val="9"/>
        <rFont val="Verdana"/>
        <family val="2"/>
      </rPr>
      <t>LFG, flaring</t>
    </r>
    <r>
      <rPr>
        <b/>
        <sz val="9"/>
        <rFont val="Verdana"/>
        <family val="2"/>
      </rPr>
      <t xml:space="preserve"> </t>
    </r>
  </si>
  <si>
    <r>
      <t>PE</t>
    </r>
    <r>
      <rPr>
        <b/>
        <vertAlign val="subscript"/>
        <sz val="9"/>
        <rFont val="Verdana"/>
        <family val="2"/>
      </rPr>
      <t>EC</t>
    </r>
  </si>
  <si>
    <r>
      <t>tCO</t>
    </r>
    <r>
      <rPr>
        <vertAlign val="subscript"/>
        <sz val="9"/>
        <rFont val="Verdana"/>
        <family val="2"/>
      </rPr>
      <t>2</t>
    </r>
  </si>
  <si>
    <r>
      <t>Methane Sent to Flare (tCH</t>
    </r>
    <r>
      <rPr>
        <vertAlign val="subscript"/>
        <sz val="9"/>
        <rFont val="Verdana"/>
        <family val="2"/>
      </rPr>
      <t>4</t>
    </r>
    <r>
      <rPr>
        <sz val="9"/>
        <rFont val="Verdana"/>
        <family val="2"/>
      </rPr>
      <t>)</t>
    </r>
  </si>
  <si>
    <r>
      <t>PE</t>
    </r>
    <r>
      <rPr>
        <vertAlign val="subscript"/>
        <sz val="9"/>
        <rFont val="Verdana"/>
        <family val="2"/>
      </rPr>
      <t xml:space="preserve">Flare </t>
    </r>
    <r>
      <rPr>
        <sz val="9"/>
        <rFont val="Verdana"/>
        <family val="2"/>
      </rPr>
      <t>(tCH</t>
    </r>
    <r>
      <rPr>
        <vertAlign val="subscript"/>
        <sz val="9"/>
        <rFont val="Verdana"/>
        <family val="2"/>
      </rPr>
      <t>4</t>
    </r>
    <r>
      <rPr>
        <sz val="9"/>
        <rFont val="Verdana"/>
        <family val="2"/>
      </rPr>
      <t>)</t>
    </r>
  </si>
  <si>
    <r>
      <t>OX</t>
    </r>
    <r>
      <rPr>
        <vertAlign val="subscript"/>
        <sz val="9"/>
        <color theme="1"/>
        <rFont val="Verdana"/>
        <family val="2"/>
      </rPr>
      <t>top_layer</t>
    </r>
  </si>
  <si>
    <r>
      <t>F</t>
    </r>
    <r>
      <rPr>
        <vertAlign val="subscript"/>
        <sz val="9"/>
        <color theme="1"/>
        <rFont val="Verdana"/>
        <family val="2"/>
      </rPr>
      <t>CH4,BL,y</t>
    </r>
  </si>
  <si>
    <r>
      <t>GWP</t>
    </r>
    <r>
      <rPr>
        <vertAlign val="subscript"/>
        <sz val="9"/>
        <color theme="1"/>
        <rFont val="Verdana"/>
        <family val="2"/>
      </rPr>
      <t>CH4</t>
    </r>
  </si>
  <si>
    <r>
      <t>EF</t>
    </r>
    <r>
      <rPr>
        <vertAlign val="subscript"/>
        <sz val="9"/>
        <rFont val="Verdana"/>
        <family val="2"/>
      </rPr>
      <t>grid,OM,y</t>
    </r>
    <r>
      <rPr>
        <sz val="9"/>
        <rFont val="Verdana"/>
        <family val="2"/>
      </rPr>
      <t xml:space="preserve"> </t>
    </r>
  </si>
  <si>
    <r>
      <t>tCO</t>
    </r>
    <r>
      <rPr>
        <vertAlign val="subscript"/>
        <sz val="9"/>
        <rFont val="Verdana"/>
        <family val="2"/>
      </rPr>
      <t>2</t>
    </r>
    <r>
      <rPr>
        <sz val="9"/>
        <rFont val="Verdana"/>
        <family val="2"/>
      </rPr>
      <t>/MWh</t>
    </r>
  </si>
  <si>
    <r>
      <t>EG</t>
    </r>
    <r>
      <rPr>
        <b/>
        <vertAlign val="subscript"/>
        <sz val="9"/>
        <color theme="1"/>
        <rFont val="Verdana"/>
        <family val="2"/>
      </rPr>
      <t>PJ,y</t>
    </r>
    <r>
      <rPr>
        <b/>
        <sz val="9"/>
        <color theme="1"/>
        <rFont val="Verdana"/>
        <family val="2"/>
      </rPr>
      <t xml:space="preserve"> (MWh)</t>
    </r>
  </si>
  <si>
    <r>
      <t>PE</t>
    </r>
    <r>
      <rPr>
        <b/>
        <vertAlign val="subscript"/>
        <sz val="9"/>
        <color theme="1"/>
        <rFont val="Verdana"/>
        <family val="2"/>
      </rPr>
      <t>y</t>
    </r>
    <r>
      <rPr>
        <b/>
        <sz val="9"/>
        <color theme="1"/>
        <rFont val="Verdana"/>
        <family val="2"/>
      </rPr>
      <t xml:space="preserve"> (tCO</t>
    </r>
    <r>
      <rPr>
        <b/>
        <vertAlign val="subscript"/>
        <sz val="9"/>
        <color theme="1"/>
        <rFont val="Verdana"/>
        <family val="2"/>
      </rPr>
      <t>2</t>
    </r>
    <r>
      <rPr>
        <b/>
        <sz val="9"/>
        <color theme="1"/>
        <rFont val="Verdana"/>
        <family val="2"/>
      </rPr>
      <t>e)</t>
    </r>
  </si>
  <si>
    <r>
      <t>EF</t>
    </r>
    <r>
      <rPr>
        <vertAlign val="subscript"/>
        <sz val="9"/>
        <rFont val="Verdana"/>
        <family val="2"/>
      </rPr>
      <t xml:space="preserve">grid,BM,y </t>
    </r>
  </si>
  <si>
    <r>
      <t>w</t>
    </r>
    <r>
      <rPr>
        <vertAlign val="subscript"/>
        <sz val="9"/>
        <rFont val="Verdana"/>
        <family val="2"/>
      </rPr>
      <t>OM</t>
    </r>
  </si>
  <si>
    <r>
      <t>w</t>
    </r>
    <r>
      <rPr>
        <vertAlign val="subscript"/>
        <sz val="9"/>
        <rFont val="Verdana"/>
        <family val="2"/>
      </rPr>
      <t>BM</t>
    </r>
  </si>
  <si>
    <r>
      <t>EF</t>
    </r>
    <r>
      <rPr>
        <vertAlign val="subscript"/>
        <sz val="9"/>
        <rFont val="Verdana"/>
        <family val="2"/>
      </rPr>
      <t xml:space="preserve">grid,CM,y </t>
    </r>
  </si>
  <si>
    <r>
      <t>tCO</t>
    </r>
    <r>
      <rPr>
        <b/>
        <vertAlign val="subscript"/>
        <sz val="9"/>
        <rFont val="Verdana"/>
        <family val="2"/>
      </rPr>
      <t>2</t>
    </r>
    <r>
      <rPr>
        <b/>
        <sz val="9"/>
        <rFont val="Verdana"/>
        <family val="2"/>
      </rPr>
      <t>/MWh</t>
    </r>
  </si>
  <si>
    <r>
      <t>BE</t>
    </r>
    <r>
      <rPr>
        <vertAlign val="subscript"/>
        <sz val="9"/>
        <color theme="1"/>
        <rFont val="Verdana"/>
        <family val="2"/>
      </rPr>
      <t>EC,y</t>
    </r>
    <r>
      <rPr>
        <sz val="9"/>
        <color theme="1"/>
        <rFont val="Verdana"/>
        <family val="2"/>
      </rPr>
      <t xml:space="preserve"> = EC</t>
    </r>
    <r>
      <rPr>
        <vertAlign val="subscript"/>
        <sz val="9"/>
        <color theme="1"/>
        <rFont val="Verdana"/>
        <family val="2"/>
      </rPr>
      <t>BL,k,y</t>
    </r>
    <r>
      <rPr>
        <sz val="9"/>
        <color theme="1"/>
        <rFont val="Verdana"/>
        <family val="2"/>
      </rPr>
      <t xml:space="preserve"> * EF</t>
    </r>
    <r>
      <rPr>
        <vertAlign val="subscript"/>
        <sz val="9"/>
        <color theme="1"/>
        <rFont val="Verdana"/>
        <family val="2"/>
      </rPr>
      <t>EL,k,y</t>
    </r>
    <r>
      <rPr>
        <sz val="9"/>
        <color theme="1"/>
        <rFont val="Verdana"/>
        <family val="2"/>
      </rPr>
      <t xml:space="preserve"> * (1+TDL</t>
    </r>
    <r>
      <rPr>
        <vertAlign val="subscript"/>
        <sz val="9"/>
        <color theme="1"/>
        <rFont val="Verdana"/>
        <family val="2"/>
      </rPr>
      <t>k,y</t>
    </r>
    <r>
      <rPr>
        <sz val="9"/>
        <color theme="1"/>
        <rFont val="Verdana"/>
        <family val="2"/>
      </rPr>
      <t>)</t>
    </r>
  </si>
  <si>
    <r>
      <t>EF</t>
    </r>
    <r>
      <rPr>
        <vertAlign val="subscript"/>
        <sz val="9"/>
        <color theme="1"/>
        <rFont val="Verdana"/>
        <family val="2"/>
      </rPr>
      <t>EL,k,y</t>
    </r>
    <r>
      <rPr>
        <sz val="9"/>
        <color theme="1"/>
        <rFont val="Verdana"/>
        <family val="2"/>
      </rPr>
      <t xml:space="preserve"> = EF</t>
    </r>
    <r>
      <rPr>
        <vertAlign val="subscript"/>
        <sz val="9"/>
        <color theme="1"/>
        <rFont val="Verdana"/>
        <family val="2"/>
      </rPr>
      <t>grid,CM,y</t>
    </r>
  </si>
  <si>
    <r>
      <t>EC</t>
    </r>
    <r>
      <rPr>
        <vertAlign val="subscript"/>
        <sz val="9"/>
        <color theme="1"/>
        <rFont val="Verdana"/>
        <family val="2"/>
      </rPr>
      <t>BL,k,y</t>
    </r>
    <r>
      <rPr>
        <sz val="9"/>
        <color theme="1"/>
        <rFont val="Verdana"/>
        <family val="2"/>
      </rPr>
      <t xml:space="preserve"> = EG</t>
    </r>
    <r>
      <rPr>
        <vertAlign val="subscript"/>
        <sz val="9"/>
        <color theme="1"/>
        <rFont val="Verdana"/>
        <family val="2"/>
      </rPr>
      <t>PJ,y</t>
    </r>
  </si>
  <si>
    <r>
      <t>TDL</t>
    </r>
    <r>
      <rPr>
        <b/>
        <vertAlign val="subscript"/>
        <sz val="9"/>
        <color theme="1"/>
        <rFont val="Verdana"/>
        <family val="2"/>
      </rPr>
      <t>k,y</t>
    </r>
  </si>
  <si>
    <r>
      <t>Baseline Grid Emission Factor (tCO</t>
    </r>
    <r>
      <rPr>
        <b/>
        <vertAlign val="subscript"/>
        <sz val="9"/>
        <color theme="1"/>
        <rFont val="Verdana"/>
        <family val="2"/>
      </rPr>
      <t>2</t>
    </r>
    <r>
      <rPr>
        <b/>
        <sz val="9"/>
        <color theme="1"/>
        <rFont val="Verdana"/>
        <family val="2"/>
      </rPr>
      <t>/MWh) EF</t>
    </r>
    <r>
      <rPr>
        <b/>
        <vertAlign val="subscript"/>
        <sz val="9"/>
        <color theme="1"/>
        <rFont val="Verdana"/>
        <family val="2"/>
      </rPr>
      <t>grid,CM,y</t>
    </r>
  </si>
  <si>
    <r>
      <t>TDL</t>
    </r>
    <r>
      <rPr>
        <b/>
        <vertAlign val="subscript"/>
        <sz val="9"/>
        <color theme="1"/>
        <rFont val="Verdana"/>
        <family val="2"/>
      </rPr>
      <t>j,y</t>
    </r>
  </si>
  <si>
    <r>
      <t>Project Emissions (tCO</t>
    </r>
    <r>
      <rPr>
        <b/>
        <vertAlign val="subscript"/>
        <sz val="9"/>
        <color theme="1"/>
        <rFont val="Verdana"/>
        <family val="2"/>
      </rPr>
      <t>2</t>
    </r>
    <r>
      <rPr>
        <b/>
        <sz val="9"/>
        <color theme="1"/>
        <rFont val="Verdana"/>
        <family val="2"/>
      </rPr>
      <t>e)</t>
    </r>
  </si>
  <si>
    <r>
      <t>tCO</t>
    </r>
    <r>
      <rPr>
        <vertAlign val="subscript"/>
        <sz val="9"/>
        <rFont val="Verdana"/>
        <family val="2"/>
      </rPr>
      <t>2</t>
    </r>
    <r>
      <rPr>
        <sz val="9"/>
        <rFont val="Verdana"/>
        <family val="2"/>
      </rPr>
      <t>/year</t>
    </r>
  </si>
  <si>
    <t>LFG destroyed in engines  [Nm³]</t>
  </si>
  <si>
    <t>End Date</t>
  </si>
  <si>
    <r>
      <t>Methane amount in LFG (tCH</t>
    </r>
    <r>
      <rPr>
        <vertAlign val="sub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>/tLFG)</t>
    </r>
  </si>
  <si>
    <r>
      <t>Methane Totalmeter [tCH</t>
    </r>
    <r>
      <rPr>
        <vertAlign val="sub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>]</t>
    </r>
  </si>
  <si>
    <r>
      <t>Methane to engines [tCH</t>
    </r>
    <r>
      <rPr>
        <vertAlign val="sub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>]</t>
    </r>
  </si>
  <si>
    <r>
      <t>Methane to Flare [tCH</t>
    </r>
    <r>
      <rPr>
        <vertAlign val="sub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>]</t>
    </r>
  </si>
  <si>
    <r>
      <t>Methane destroyed in engines - BE</t>
    </r>
    <r>
      <rPr>
        <vertAlign val="subscript"/>
        <sz val="9"/>
        <rFont val="Verdana"/>
        <family val="2"/>
      </rPr>
      <t>CH4,y</t>
    </r>
    <r>
      <rPr>
        <sz val="9"/>
        <rFont val="Verdana"/>
        <family val="2"/>
      </rPr>
      <t xml:space="preserve"> (LFG)</t>
    </r>
  </si>
  <si>
    <t>Raw Data (kWh)</t>
  </si>
  <si>
    <t xml:space="preserve">Electricity Generation </t>
  </si>
  <si>
    <t>Electricity Consumption</t>
  </si>
  <si>
    <r>
      <t>BE</t>
    </r>
    <r>
      <rPr>
        <b/>
        <vertAlign val="subscript"/>
        <sz val="9"/>
        <color theme="1"/>
        <rFont val="Verdana"/>
        <family val="2"/>
      </rPr>
      <t>CH4,y,LFG</t>
    </r>
  </si>
  <si>
    <r>
      <t>Total emission reductions (tCO</t>
    </r>
    <r>
      <rPr>
        <b/>
        <vertAlign val="subscript"/>
        <sz val="9"/>
        <rFont val="Verdana"/>
        <family val="2"/>
      </rPr>
      <t>2</t>
    </r>
    <r>
      <rPr>
        <b/>
        <sz val="9"/>
        <rFont val="Verdana"/>
        <family val="2"/>
      </rPr>
      <t>e)</t>
    </r>
  </si>
  <si>
    <r>
      <t>Annual average over the crediting period of estimated reductions (tCO</t>
    </r>
    <r>
      <rPr>
        <b/>
        <vertAlign val="subscript"/>
        <sz val="9"/>
        <rFont val="Verdana"/>
        <family val="2"/>
      </rPr>
      <t>2</t>
    </r>
    <r>
      <rPr>
        <b/>
        <sz val="9"/>
        <rFont val="Verdana"/>
        <family val="2"/>
      </rPr>
      <t>e)</t>
    </r>
  </si>
  <si>
    <t>5 workers employed will be continued during the crediting period and at least 1 training will be conducted</t>
  </si>
  <si>
    <t>Period</t>
  </si>
  <si>
    <t>Bursa-Hamitler Landfill Gas Collection and Energy Utilization Project</t>
  </si>
  <si>
    <r>
      <t>BE</t>
    </r>
    <r>
      <rPr>
        <vertAlign val="subscript"/>
        <sz val="9"/>
        <color theme="1"/>
        <rFont val="Verdana"/>
        <family val="2"/>
      </rPr>
      <t>CH4,y</t>
    </r>
    <r>
      <rPr>
        <sz val="9"/>
        <color theme="1"/>
        <rFont val="Verdana"/>
        <family val="2"/>
      </rPr>
      <t xml:space="preserve"> = ((1-OX</t>
    </r>
    <r>
      <rPr>
        <vertAlign val="subscript"/>
        <sz val="9"/>
        <color theme="1"/>
        <rFont val="Verdana"/>
        <family val="2"/>
      </rPr>
      <t>top_layer</t>
    </r>
    <r>
      <rPr>
        <sz val="9"/>
        <color theme="1"/>
        <rFont val="Verdana"/>
        <family val="2"/>
      </rPr>
      <t>) * F</t>
    </r>
    <r>
      <rPr>
        <vertAlign val="subscript"/>
        <sz val="9"/>
        <color theme="1"/>
        <rFont val="Verdana"/>
        <family val="2"/>
      </rPr>
      <t>CH4,PJ,y</t>
    </r>
    <r>
      <rPr>
        <sz val="9"/>
        <color theme="1"/>
        <rFont val="Verdana"/>
        <family val="2"/>
      </rPr>
      <t xml:space="preserve"> - F</t>
    </r>
    <r>
      <rPr>
        <vertAlign val="subscript"/>
        <sz val="9"/>
        <color theme="1"/>
        <rFont val="Verdana"/>
        <family val="2"/>
      </rPr>
      <t>CH4,BL,y</t>
    </r>
    <r>
      <rPr>
        <sz val="9"/>
        <color theme="1"/>
        <rFont val="Verdana"/>
        <family val="2"/>
      </rPr>
      <t>) * GWP</t>
    </r>
    <r>
      <rPr>
        <vertAlign val="subscript"/>
        <sz val="9"/>
        <color theme="1"/>
        <rFont val="Verdana"/>
        <family val="2"/>
      </rPr>
      <t>CH4</t>
    </r>
  </si>
  <si>
    <t>ER (tCO2e/year)</t>
  </si>
  <si>
    <t>BE (tCO2e/year)</t>
  </si>
  <si>
    <t>EG (MWh/year)</t>
  </si>
  <si>
    <t>PE+LE (tCO2e/year)</t>
  </si>
  <si>
    <r>
      <t xml:space="preserve">Project Emissions
</t>
    </r>
    <r>
      <rPr>
        <sz val="9"/>
        <rFont val="Verdana"/>
        <family val="2"/>
      </rPr>
      <t>(tonnes of CO</t>
    </r>
    <r>
      <rPr>
        <vertAlign val="subscript"/>
        <sz val="9"/>
        <rFont val="Verdana"/>
        <family val="2"/>
      </rPr>
      <t>2</t>
    </r>
    <r>
      <rPr>
        <sz val="9"/>
        <rFont val="Verdana"/>
        <family val="2"/>
      </rPr>
      <t>e)</t>
    </r>
  </si>
  <si>
    <t>M.ID.4</t>
  </si>
  <si>
    <t>M.ID.3</t>
  </si>
  <si>
    <t>M.ID.5</t>
  </si>
  <si>
    <t>2.0</t>
  </si>
  <si>
    <t>01/01/2023 - 31/07/2023</t>
  </si>
  <si>
    <t>04/11/2022 - 31/12/2022</t>
  </si>
  <si>
    <t>01/01/2023 – 31/07/2023</t>
  </si>
  <si>
    <r>
      <t>BE</t>
    </r>
    <r>
      <rPr>
        <b/>
        <vertAlign val="subscript"/>
        <sz val="9"/>
        <rFont val="Verdana"/>
        <family val="2"/>
      </rPr>
      <t>EC</t>
    </r>
  </si>
  <si>
    <t>Net Electricity Supplied  (MWh)</t>
  </si>
  <si>
    <t>Net Electricity Supplied (MWh)</t>
  </si>
  <si>
    <r>
      <t>Baseline emissions from electricity consumption  (tCO</t>
    </r>
    <r>
      <rPr>
        <b/>
        <vertAlign val="subscript"/>
        <sz val="9"/>
        <color theme="1"/>
        <rFont val="Verdana"/>
        <family val="2"/>
      </rPr>
      <t>2</t>
    </r>
    <r>
      <rPr>
        <b/>
        <sz val="9"/>
        <color theme="1"/>
        <rFont val="Verdana"/>
        <family val="2"/>
      </rPr>
      <t>e)</t>
    </r>
  </si>
  <si>
    <t>Total Net Electricity Supplied by the plant to grid (Conservative Value) (MWh)</t>
  </si>
  <si>
    <r>
      <t>BE</t>
    </r>
    <r>
      <rPr>
        <b/>
        <sz val="6"/>
        <color theme="1"/>
        <rFont val="Verdana"/>
        <family val="2"/>
        <charset val="162"/>
      </rPr>
      <t>EC</t>
    </r>
    <r>
      <rPr>
        <b/>
        <sz val="8"/>
        <color theme="1"/>
        <rFont val="Verdana"/>
        <family val="2"/>
        <charset val="162"/>
      </rPr>
      <t xml:space="preserve"> </t>
    </r>
    <r>
      <rPr>
        <b/>
        <sz val="9"/>
        <color theme="1"/>
        <rFont val="Verdana"/>
        <family val="2"/>
      </rPr>
      <t>(tCO</t>
    </r>
    <r>
      <rPr>
        <b/>
        <vertAlign val="subscript"/>
        <sz val="9"/>
        <color theme="1"/>
        <rFont val="Verdana"/>
        <family val="2"/>
      </rPr>
      <t>2</t>
    </r>
    <r>
      <rPr>
        <b/>
        <sz val="9"/>
        <color theme="1"/>
        <rFont val="Verdana"/>
        <family val="2"/>
      </rPr>
      <t>e)</t>
    </r>
  </si>
  <si>
    <t xml:space="preserve">Emission Reduction </t>
  </si>
  <si>
    <t>Electricity Generated</t>
  </si>
  <si>
    <t>Number of workers</t>
  </si>
  <si>
    <t>Number of trainings</t>
  </si>
  <si>
    <t>Ex-ante value</t>
  </si>
  <si>
    <t>Actual Value</t>
  </si>
  <si>
    <t>LFG total [m³/h]</t>
  </si>
  <si>
    <r>
      <t>EG</t>
    </r>
    <r>
      <rPr>
        <b/>
        <sz val="5"/>
        <color theme="1"/>
        <rFont val="Verdana"/>
        <family val="2"/>
        <charset val="162"/>
      </rPr>
      <t>EC</t>
    </r>
    <r>
      <rPr>
        <b/>
        <vertAlign val="subscript"/>
        <sz val="9"/>
        <color theme="1"/>
        <rFont val="Verdana"/>
        <family val="2"/>
      </rPr>
      <t>,y</t>
    </r>
    <r>
      <rPr>
        <b/>
        <sz val="9"/>
        <color theme="1"/>
        <rFont val="Verdana"/>
        <family val="2"/>
      </rPr>
      <t xml:space="preserve"> (MWh)</t>
    </r>
  </si>
  <si>
    <t xml:space="preserve"> </t>
  </si>
  <si>
    <t>Average pressure (mbar)</t>
  </si>
  <si>
    <t>Average Temperature (°C)</t>
  </si>
  <si>
    <r>
      <t>Normal Temperature (</t>
    </r>
    <r>
      <rPr>
        <sz val="9"/>
        <color theme="1"/>
        <rFont val="Aptos Narrow"/>
        <family val="2"/>
      </rPr>
      <t>K)</t>
    </r>
  </si>
  <si>
    <t>Average Temperature (K)</t>
  </si>
  <si>
    <t>Normal Pressure (atm)</t>
  </si>
  <si>
    <t>Average pressure (atm)</t>
  </si>
  <si>
    <t>01/08/2022-31/07/2023</t>
  </si>
  <si>
    <t>01/08/2023-31/07/2024</t>
  </si>
  <si>
    <t>01/08/2024-31/07/2025</t>
  </si>
  <si>
    <t>01/08/2025-31/07/2026</t>
  </si>
  <si>
    <t>01/08/2026-31/07/2027</t>
  </si>
  <si>
    <t>01/08/2027-31/07/2028</t>
  </si>
  <si>
    <t>01/08/2028-31/07/2029</t>
  </si>
  <si>
    <t>Daily Sum Flow (Nm3)</t>
  </si>
  <si>
    <t>Daily Average CH4 (%)</t>
  </si>
  <si>
    <t>Daily Average CO2 (%)</t>
  </si>
  <si>
    <t>Daily Average O2 (%)</t>
  </si>
  <si>
    <r>
      <t>Methane amount in LFG (tCH</t>
    </r>
    <r>
      <rPr>
        <vertAlign val="sub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>/tLFG)(%)</t>
    </r>
  </si>
  <si>
    <t>Supply 
(MWh)</t>
  </si>
  <si>
    <t>Draw 
(MWh)</t>
  </si>
  <si>
    <t>Draw with Loss (MWh)</t>
  </si>
  <si>
    <t>Supply with Loss (MWh)</t>
  </si>
  <si>
    <t>TOTAL</t>
  </si>
  <si>
    <t>Draw with Loss (kWh)</t>
  </si>
  <si>
    <t>Supply with Loss (kWh)</t>
  </si>
  <si>
    <t>Generation value from 01/11/2022 to 30/11/2022</t>
  </si>
  <si>
    <t>Geneartion ratio from 04/11/2022 to 30/11/2022</t>
  </si>
  <si>
    <t>Generation value from 04/11/2022 to 30/11/2022</t>
  </si>
  <si>
    <t>For Supply with loss</t>
  </si>
  <si>
    <t>For Draw with loss</t>
  </si>
  <si>
    <t>DGR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</si>
</sst>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-* #,##0.00_-;\-* #,##0.00_-;_-* &quot;-&quot;??_-;_-@_-"/>
    <numFmt numFmtId="165" formatCode="_-* #,##0.00\ _T_L_-;\-* #,##0.00\ _T_L_-;_-* &quot;-&quot;??\ _T_L_-;_-@_-"/>
    <numFmt numFmtId="166" formatCode="0.0"/>
    <numFmt numFmtId="167" formatCode="#,##0.0"/>
    <numFmt numFmtId="168" formatCode="0.000"/>
    <numFmt numFmtId="169" formatCode="_-* #,##0\ _T_L_-;\-* #,##0\ _T_L_-;_-* &quot;-&quot;??\ _T_L_-;_-@_-"/>
    <numFmt numFmtId="170" formatCode="0.0000"/>
    <numFmt numFmtId="171" formatCode="_-* #,##0_-;\-* #,##0_-;_-* &quot;-&quot;??_-;_-@_-"/>
    <numFmt numFmtId="172" formatCode="0.0000000000"/>
    <numFmt numFmtId="173" formatCode="#,##0.000"/>
    <numFmt numFmtId="174" formatCode="#,##0.0000"/>
    <numFmt numFmtId="175" formatCode="#,##0.0000000"/>
    <numFmt numFmtId="176" formatCode="_(* #,##0_);_(* \(#,##0\);_(* &quot;-&quot;??_);_(@_)"/>
    <numFmt numFmtId="177" formatCode="_-* #,##0.0_-;\-* #,##0.0_-;_-* &quot;-&quot;??_-;_-@_-"/>
    <numFmt numFmtId="178" formatCode="_-* #,##0.0\ _T_L_-;\-* #,##0.0\ _T_L_-;_-* &quot;-&quot;??\ _T_L_-;_-@_-"/>
    <numFmt numFmtId="179" formatCode="#,##0_ ;\-#,##0\ "/>
    <numFmt numFmtId="180" formatCode="_-* #,##0.0000_-;\-* #,##0.0000_-;_-* &quot;-&quot;??_-;_-@_-"/>
    <numFmt numFmtId="181" formatCode="#,##0.0_ ;\-#,##0.0\ "/>
    <numFmt numFmtId="182" formatCode="#,##0.0000_ ;\-#,##0.0000\ "/>
    <numFmt numFmtId="183" formatCode="_-* #,##0.0000_-;\-* #,##0.0000_-;_-* &quot;-&quot;????_-;_-@_-"/>
  </numFmts>
  <fonts count="37">
    <font>
      <sz val="12"/>
      <name val="宋体"/>
      <charset val="134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name val="宋体"/>
      <charset val="134"/>
    </font>
    <font>
      <sz val="8"/>
      <name val="宋体"/>
      <charset val="134"/>
    </font>
    <font>
      <sz val="9"/>
      <name val="Arial"/>
      <family val="2"/>
    </font>
    <font>
      <sz val="9"/>
      <name val="Arial"/>
      <family val="2"/>
      <charset val="162"/>
    </font>
    <font>
      <sz val="9"/>
      <color theme="1"/>
      <name val="Arial"/>
      <family val="2"/>
    </font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</font>
    <font>
      <b/>
      <sz val="9"/>
      <name val="Verdana"/>
      <family val="2"/>
    </font>
    <font>
      <sz val="9"/>
      <name val="Verdana"/>
      <family val="2"/>
    </font>
    <font>
      <vertAlign val="subscript"/>
      <sz val="9"/>
      <name val="Verdana"/>
      <family val="2"/>
    </font>
    <font>
      <b/>
      <sz val="9"/>
      <color theme="1"/>
      <name val="Verdana"/>
      <family val="2"/>
    </font>
    <font>
      <b/>
      <vertAlign val="subscript"/>
      <sz val="9"/>
      <color theme="1"/>
      <name val="Verdana"/>
      <family val="2"/>
    </font>
    <font>
      <b/>
      <vertAlign val="subscript"/>
      <sz val="9"/>
      <name val="Verdana"/>
      <family val="2"/>
    </font>
    <font>
      <sz val="9"/>
      <color theme="1"/>
      <name val="Verdana"/>
      <family val="2"/>
    </font>
    <font>
      <sz val="9"/>
      <name val="Verdana"/>
      <family val="2"/>
      <charset val="162"/>
    </font>
    <font>
      <b/>
      <sz val="9"/>
      <name val="Verdana"/>
      <family val="2"/>
      <charset val="162"/>
    </font>
    <font>
      <sz val="9"/>
      <color theme="1"/>
      <name val="Verdana"/>
      <family val="2"/>
      <charset val="162"/>
    </font>
    <font>
      <b/>
      <sz val="9"/>
      <color theme="1"/>
      <name val="Verdana"/>
      <family val="2"/>
      <charset val="162"/>
    </font>
    <font>
      <vertAlign val="subscript"/>
      <sz val="9"/>
      <color theme="1"/>
      <name val="Verdana"/>
      <family val="2"/>
    </font>
    <font>
      <u/>
      <sz val="9"/>
      <color theme="10"/>
      <name val="Verdana"/>
      <family val="2"/>
    </font>
    <font>
      <sz val="12"/>
      <name val="Verdana"/>
      <family val="2"/>
    </font>
    <font>
      <vertAlign val="subscript"/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9"/>
      <name val="宋体"/>
      <charset val="162"/>
    </font>
    <font>
      <sz val="9"/>
      <color rgb="FFFF0000"/>
      <name val="Verdana"/>
      <family val="2"/>
      <charset val="162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8"/>
      <color theme="1"/>
      <name val="Verdana"/>
      <family val="2"/>
      <charset val="162"/>
    </font>
    <font>
      <b/>
      <sz val="6"/>
      <color theme="1"/>
      <name val="Verdana"/>
      <family val="2"/>
      <charset val="162"/>
    </font>
    <font>
      <b/>
      <sz val="5"/>
      <color theme="1"/>
      <name val="Verdana"/>
      <family val="2"/>
      <charset val="162"/>
    </font>
    <font>
      <sz val="9"/>
      <color theme="1"/>
      <name val="Aptos Narrow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4">
    <xf numFmtId="0" fontId="0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/>
    <xf numFmtId="164" fontId="8" fillId="0" borderId="0" applyFont="0" applyFill="0" applyBorder="0" applyAlignment="0" applyProtection="0"/>
    <xf numFmtId="0" fontId="2" fillId="0" borderId="0"/>
    <xf numFmtId="0" fontId="26" fillId="0" borderId="0"/>
    <xf numFmtId="164" fontId="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1" fillId="0" borderId="0"/>
  </cellStyleXfs>
  <cellXfs count="245">
    <xf numFmtId="0" fontId="0" fillId="0" borderId="0" xfId="0"/>
    <xf numFmtId="0" fontId="6" fillId="0" borderId="0" xfId="0" applyFont="1"/>
    <xf numFmtId="10" fontId="7" fillId="0" borderId="0" xfId="2" applyNumberFormat="1" applyFont="1" applyFill="1"/>
    <xf numFmtId="9" fontId="7" fillId="0" borderId="0" xfId="2" applyFont="1" applyFill="1" applyAlignment="1">
      <alignment horizontal="center" vertical="top"/>
    </xf>
    <xf numFmtId="9" fontId="7" fillId="0" borderId="0" xfId="2" applyFont="1" applyFill="1"/>
    <xf numFmtId="10" fontId="7" fillId="0" borderId="0" xfId="2" applyNumberFormat="1" applyFont="1" applyFill="1" applyAlignment="1">
      <alignment horizontal="center" vertical="top"/>
    </xf>
    <xf numFmtId="14" fontId="13" fillId="2" borderId="3" xfId="0" applyNumberFormat="1" applyFont="1" applyFill="1" applyBorder="1"/>
    <xf numFmtId="0" fontId="13" fillId="2" borderId="3" xfId="0" applyFont="1" applyFill="1" applyBorder="1"/>
    <xf numFmtId="0" fontId="10" fillId="2" borderId="3" xfId="0" applyFont="1" applyFill="1" applyBorder="1" applyAlignment="1">
      <alignment horizontal="center" vertical="center"/>
    </xf>
    <xf numFmtId="171" fontId="16" fillId="2" borderId="3" xfId="1" applyNumberFormat="1" applyFont="1" applyFill="1" applyBorder="1"/>
    <xf numFmtId="0" fontId="17" fillId="0" borderId="0" xfId="0" applyFont="1"/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8" fillId="2" borderId="9" xfId="0" applyFont="1" applyFill="1" applyBorder="1" applyAlignment="1">
      <alignment vertical="center"/>
    </xf>
    <xf numFmtId="0" fontId="17" fillId="2" borderId="8" xfId="0" applyFont="1" applyFill="1" applyBorder="1" applyAlignment="1">
      <alignment vertical="center"/>
    </xf>
    <xf numFmtId="14" fontId="17" fillId="0" borderId="0" xfId="0" applyNumberFormat="1" applyFont="1"/>
    <xf numFmtId="0" fontId="18" fillId="2" borderId="11" xfId="0" applyFont="1" applyFill="1" applyBorder="1" applyAlignment="1">
      <alignment vertical="center"/>
    </xf>
    <xf numFmtId="169" fontId="17" fillId="0" borderId="0" xfId="1" applyNumberFormat="1" applyFont="1"/>
    <xf numFmtId="176" fontId="17" fillId="0" borderId="0" xfId="0" applyNumberFormat="1" applyFont="1"/>
    <xf numFmtId="10" fontId="17" fillId="0" borderId="0" xfId="2" applyNumberFormat="1" applyFont="1"/>
    <xf numFmtId="0" fontId="18" fillId="2" borderId="11" xfId="0" applyFont="1" applyFill="1" applyBorder="1" applyAlignment="1">
      <alignment vertical="center" wrapText="1"/>
    </xf>
    <xf numFmtId="0" fontId="19" fillId="2" borderId="0" xfId="0" applyFont="1" applyFill="1"/>
    <xf numFmtId="169" fontId="17" fillId="0" borderId="0" xfId="1" quotePrefix="1" applyNumberFormat="1" applyFont="1"/>
    <xf numFmtId="0" fontId="18" fillId="2" borderId="5" xfId="0" applyFont="1" applyFill="1" applyBorder="1" applyAlignment="1">
      <alignment vertical="center"/>
    </xf>
    <xf numFmtId="0" fontId="17" fillId="2" borderId="6" xfId="0" applyFont="1" applyFill="1" applyBorder="1" applyAlignment="1">
      <alignment horizontal="left" vertical="center"/>
    </xf>
    <xf numFmtId="0" fontId="17" fillId="2" borderId="3" xfId="5" applyFont="1" applyFill="1" applyBorder="1" applyAlignment="1">
      <alignment vertical="top" wrapText="1"/>
    </xf>
    <xf numFmtId="176" fontId="17" fillId="2" borderId="3" xfId="7" applyNumberFormat="1" applyFont="1" applyFill="1" applyBorder="1" applyAlignment="1">
      <alignment vertical="top"/>
    </xf>
    <xf numFmtId="14" fontId="19" fillId="2" borderId="3" xfId="0" applyNumberFormat="1" applyFont="1" applyFill="1" applyBorder="1"/>
    <xf numFmtId="0" fontId="19" fillId="2" borderId="3" xfId="0" applyFont="1" applyFill="1" applyBorder="1"/>
    <xf numFmtId="0" fontId="17" fillId="0" borderId="3" xfId="0" applyFont="1" applyBorder="1"/>
    <xf numFmtId="169" fontId="17" fillId="0" borderId="3" xfId="1" applyNumberFormat="1" applyFont="1" applyBorder="1"/>
    <xf numFmtId="1" fontId="17" fillId="2" borderId="3" xfId="0" applyNumberFormat="1" applyFont="1" applyFill="1" applyBorder="1" applyAlignment="1">
      <alignment horizontal="center" vertical="top" wrapText="1"/>
    </xf>
    <xf numFmtId="0" fontId="17" fillId="2" borderId="3" xfId="0" applyFont="1" applyFill="1" applyBorder="1" applyAlignment="1">
      <alignment horizontal="center" vertical="top" wrapText="1"/>
    </xf>
    <xf numFmtId="0" fontId="11" fillId="2" borderId="0" xfId="0" applyFont="1" applyFill="1"/>
    <xf numFmtId="0" fontId="16" fillId="2" borderId="0" xfId="0" applyFont="1" applyFill="1"/>
    <xf numFmtId="0" fontId="16" fillId="2" borderId="0" xfId="0" applyFont="1" applyFill="1" applyAlignment="1">
      <alignment horizontal="center" vertical="top"/>
    </xf>
    <xf numFmtId="0" fontId="16" fillId="2" borderId="0" xfId="0" applyFont="1" applyFill="1" applyAlignment="1">
      <alignment vertical="top"/>
    </xf>
    <xf numFmtId="0" fontId="22" fillId="2" borderId="0" xfId="4" applyFont="1" applyFill="1" applyAlignment="1" applyProtection="1">
      <alignment vertical="top"/>
    </xf>
    <xf numFmtId="0" fontId="11" fillId="2" borderId="3" xfId="0" applyFont="1" applyFill="1" applyBorder="1"/>
    <xf numFmtId="170" fontId="11" fillId="2" borderId="3" xfId="0" applyNumberFormat="1" applyFont="1" applyFill="1" applyBorder="1"/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vertical="center"/>
    </xf>
    <xf numFmtId="0" fontId="13" fillId="2" borderId="16" xfId="0" applyFont="1" applyFill="1" applyBorder="1" applyAlignment="1">
      <alignment vertical="center"/>
    </xf>
    <xf numFmtId="14" fontId="16" fillId="2" borderId="17" xfId="0" applyNumberFormat="1" applyFont="1" applyFill="1" applyBorder="1" applyAlignment="1">
      <alignment horizontal="center" vertical="center"/>
    </xf>
    <xf numFmtId="14" fontId="16" fillId="2" borderId="3" xfId="0" applyNumberFormat="1" applyFont="1" applyFill="1" applyBorder="1" applyAlignment="1">
      <alignment horizontal="center" vertical="center"/>
    </xf>
    <xf numFmtId="171" fontId="16" fillId="2" borderId="18" xfId="1" applyNumberFormat="1" applyFont="1" applyFill="1" applyBorder="1"/>
    <xf numFmtId="168" fontId="11" fillId="2" borderId="3" xfId="0" applyNumberFormat="1" applyFont="1" applyFill="1" applyBorder="1"/>
    <xf numFmtId="171" fontId="16" fillId="2" borderId="20" xfId="1" applyNumberFormat="1" applyFont="1" applyFill="1" applyBorder="1"/>
    <xf numFmtId="171" fontId="16" fillId="2" borderId="21" xfId="1" applyNumberFormat="1" applyFont="1" applyFill="1" applyBorder="1"/>
    <xf numFmtId="170" fontId="10" fillId="2" borderId="3" xfId="0" applyNumberFormat="1" applyFont="1" applyFill="1" applyBorder="1"/>
    <xf numFmtId="0" fontId="10" fillId="2" borderId="3" xfId="0" applyFont="1" applyFill="1" applyBorder="1"/>
    <xf numFmtId="170" fontId="10" fillId="2" borderId="0" xfId="0" applyNumberFormat="1" applyFont="1" applyFill="1"/>
    <xf numFmtId="0" fontId="10" fillId="2" borderId="0" xfId="0" applyFont="1" applyFill="1"/>
    <xf numFmtId="0" fontId="13" fillId="2" borderId="12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3" fillId="2" borderId="14" xfId="0" applyFont="1" applyFill="1" applyBorder="1" applyAlignment="1">
      <alignment horizontal="center" vertical="top"/>
    </xf>
    <xf numFmtId="0" fontId="13" fillId="2" borderId="15" xfId="0" applyFont="1" applyFill="1" applyBorder="1" applyAlignment="1">
      <alignment horizontal="center" vertical="top"/>
    </xf>
    <xf numFmtId="0" fontId="13" fillId="2" borderId="15" xfId="0" applyFont="1" applyFill="1" applyBorder="1" applyAlignment="1">
      <alignment vertical="top" wrapText="1"/>
    </xf>
    <xf numFmtId="0" fontId="13" fillId="2" borderId="22" xfId="0" applyFont="1" applyFill="1" applyBorder="1" applyAlignment="1">
      <alignment vertical="top" wrapText="1"/>
    </xf>
    <xf numFmtId="0" fontId="13" fillId="2" borderId="16" xfId="0" applyFont="1" applyFill="1" applyBorder="1" applyAlignment="1">
      <alignment vertical="top" wrapText="1"/>
    </xf>
    <xf numFmtId="14" fontId="16" fillId="2" borderId="17" xfId="0" applyNumberFormat="1" applyFont="1" applyFill="1" applyBorder="1" applyAlignment="1">
      <alignment horizontal="center"/>
    </xf>
    <xf numFmtId="14" fontId="16" fillId="2" borderId="3" xfId="0" applyNumberFormat="1" applyFont="1" applyFill="1" applyBorder="1" applyAlignment="1">
      <alignment horizontal="center"/>
    </xf>
    <xf numFmtId="2" fontId="16" fillId="2" borderId="4" xfId="1" applyNumberFormat="1" applyFont="1" applyFill="1" applyBorder="1" applyAlignment="1">
      <alignment horizontal="center"/>
    </xf>
    <xf numFmtId="171" fontId="16" fillId="2" borderId="3" xfId="1" applyNumberFormat="1" applyFont="1" applyFill="1" applyBorder="1" applyAlignment="1">
      <alignment horizontal="center"/>
    </xf>
    <xf numFmtId="10" fontId="16" fillId="2" borderId="3" xfId="2" applyNumberFormat="1" applyFont="1" applyFill="1" applyBorder="1" applyAlignment="1">
      <alignment horizontal="center"/>
    </xf>
    <xf numFmtId="170" fontId="16" fillId="2" borderId="3" xfId="0" applyNumberFormat="1" applyFont="1" applyFill="1" applyBorder="1" applyAlignment="1">
      <alignment horizontal="center"/>
    </xf>
    <xf numFmtId="171" fontId="16" fillId="2" borderId="0" xfId="0" applyNumberFormat="1" applyFont="1" applyFill="1" applyAlignment="1">
      <alignment vertical="top"/>
    </xf>
    <xf numFmtId="0" fontId="13" fillId="2" borderId="15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vertical="center" wrapText="1"/>
    </xf>
    <xf numFmtId="165" fontId="16" fillId="2" borderId="3" xfId="1" applyFont="1" applyFill="1" applyBorder="1" applyAlignment="1">
      <alignment horizontal="center"/>
    </xf>
    <xf numFmtId="2" fontId="16" fillId="2" borderId="3" xfId="1" applyNumberFormat="1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top"/>
    </xf>
    <xf numFmtId="3" fontId="11" fillId="2" borderId="0" xfId="0" applyNumberFormat="1" applyFont="1" applyFill="1"/>
    <xf numFmtId="177" fontId="16" fillId="2" borderId="0" xfId="0" applyNumberFormat="1" applyFont="1" applyFill="1"/>
    <xf numFmtId="0" fontId="17" fillId="2" borderId="0" xfId="0" applyFont="1" applyFill="1" applyAlignment="1">
      <alignment horizontal="left" vertical="center"/>
    </xf>
    <xf numFmtId="49" fontId="17" fillId="2" borderId="0" xfId="0" applyNumberFormat="1" applyFont="1" applyFill="1" applyAlignment="1">
      <alignment horizontal="left" vertical="center"/>
    </xf>
    <xf numFmtId="0" fontId="18" fillId="0" borderId="0" xfId="6" applyFont="1" applyAlignment="1">
      <alignment vertical="top"/>
    </xf>
    <xf numFmtId="176" fontId="18" fillId="0" borderId="0" xfId="7" applyNumberFormat="1" applyFont="1" applyFill="1" applyBorder="1" applyAlignment="1">
      <alignment vertical="top"/>
    </xf>
    <xf numFmtId="0" fontId="18" fillId="0" borderId="3" xfId="6" applyFont="1" applyBorder="1" applyAlignment="1">
      <alignment vertical="top"/>
    </xf>
    <xf numFmtId="176" fontId="18" fillId="0" borderId="3" xfId="7" applyNumberFormat="1" applyFont="1" applyFill="1" applyBorder="1" applyAlignment="1">
      <alignment vertical="top"/>
    </xf>
    <xf numFmtId="0" fontId="17" fillId="2" borderId="10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left" vertical="center"/>
    </xf>
    <xf numFmtId="0" fontId="19" fillId="2" borderId="2" xfId="0" applyFont="1" applyFill="1" applyBorder="1"/>
    <xf numFmtId="0" fontId="19" fillId="2" borderId="7" xfId="0" applyFont="1" applyFill="1" applyBorder="1"/>
    <xf numFmtId="169" fontId="7" fillId="0" borderId="3" xfId="1" applyNumberFormat="1" applyFont="1" applyFill="1" applyBorder="1" applyAlignment="1">
      <alignment horizontal="center" vertical="top"/>
    </xf>
    <xf numFmtId="14" fontId="16" fillId="2" borderId="0" xfId="0" applyNumberFormat="1" applyFont="1" applyFill="1" applyAlignment="1">
      <alignment horizontal="center"/>
    </xf>
    <xf numFmtId="0" fontId="13" fillId="2" borderId="3" xfId="0" applyFont="1" applyFill="1" applyBorder="1" applyAlignment="1">
      <alignment vertical="center" wrapText="1"/>
    </xf>
    <xf numFmtId="169" fontId="16" fillId="2" borderId="3" xfId="1" applyNumberFormat="1" applyFont="1" applyFill="1" applyBorder="1"/>
    <xf numFmtId="0" fontId="13" fillId="2" borderId="3" xfId="0" applyFont="1" applyFill="1" applyBorder="1" applyAlignment="1">
      <alignment horizontal="left" vertical="center"/>
    </xf>
    <xf numFmtId="0" fontId="13" fillId="2" borderId="13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vertical="center" wrapText="1"/>
    </xf>
    <xf numFmtId="178" fontId="16" fillId="2" borderId="3" xfId="1" applyNumberFormat="1" applyFont="1" applyFill="1" applyBorder="1" applyAlignment="1">
      <alignment vertical="top"/>
    </xf>
    <xf numFmtId="178" fontId="11" fillId="0" borderId="3" xfId="1" applyNumberFormat="1" applyFont="1" applyBorder="1" applyAlignment="1">
      <alignment vertical="center"/>
    </xf>
    <xf numFmtId="164" fontId="16" fillId="2" borderId="3" xfId="1" applyNumberFormat="1" applyFont="1" applyFill="1" applyBorder="1" applyAlignment="1">
      <alignment horizontal="center"/>
    </xf>
    <xf numFmtId="177" fontId="16" fillId="2" borderId="18" xfId="1" applyNumberFormat="1" applyFont="1" applyFill="1" applyBorder="1" applyAlignment="1">
      <alignment horizontal="center"/>
    </xf>
    <xf numFmtId="164" fontId="16" fillId="2" borderId="18" xfId="1" applyNumberFormat="1" applyFont="1" applyFill="1" applyBorder="1" applyAlignment="1">
      <alignment horizontal="center"/>
    </xf>
    <xf numFmtId="0" fontId="17" fillId="2" borderId="0" xfId="0" applyFont="1" applyFill="1" applyAlignment="1">
      <alignment vertical="top" wrapText="1"/>
    </xf>
    <xf numFmtId="1" fontId="17" fillId="2" borderId="0" xfId="0" applyNumberFormat="1" applyFont="1" applyFill="1" applyAlignment="1">
      <alignment horizontal="center" vertical="top" wrapText="1"/>
    </xf>
    <xf numFmtId="0" fontId="17" fillId="2" borderId="0" xfId="0" applyFont="1" applyFill="1"/>
    <xf numFmtId="0" fontId="17" fillId="2" borderId="0" xfId="0" applyFont="1" applyFill="1" applyAlignment="1">
      <alignment horizontal="center" vertical="top" wrapText="1"/>
    </xf>
    <xf numFmtId="0" fontId="18" fillId="2" borderId="3" xfId="0" applyFont="1" applyFill="1" applyBorder="1" applyAlignment="1">
      <alignment vertical="top" wrapText="1"/>
    </xf>
    <xf numFmtId="0" fontId="28" fillId="2" borderId="0" xfId="0" applyFont="1" applyFill="1"/>
    <xf numFmtId="2" fontId="17" fillId="2" borderId="3" xfId="0" applyNumberFormat="1" applyFont="1" applyFill="1" applyBorder="1" applyAlignment="1">
      <alignment horizontal="center" vertical="top" wrapText="1"/>
    </xf>
    <xf numFmtId="2" fontId="17" fillId="2" borderId="0" xfId="0" applyNumberFormat="1" applyFont="1" applyFill="1" applyAlignment="1">
      <alignment vertical="top" wrapText="1"/>
    </xf>
    <xf numFmtId="1" fontId="20" fillId="2" borderId="3" xfId="0" applyNumberFormat="1" applyFont="1" applyFill="1" applyBorder="1" applyAlignment="1">
      <alignment horizontal="center" vertical="top" wrapText="1"/>
    </xf>
    <xf numFmtId="2" fontId="18" fillId="2" borderId="3" xfId="0" applyNumberFormat="1" applyFont="1" applyFill="1" applyBorder="1" applyAlignment="1">
      <alignment horizontal="center" vertical="top" wrapText="1"/>
    </xf>
    <xf numFmtId="167" fontId="20" fillId="2" borderId="0" xfId="0" applyNumberFormat="1" applyFont="1" applyFill="1" applyAlignment="1">
      <alignment horizontal="center" vertical="top" wrapText="1"/>
    </xf>
    <xf numFmtId="0" fontId="29" fillId="2" borderId="0" xfId="0" applyFont="1" applyFill="1" applyAlignment="1">
      <alignment vertical="top" wrapText="1"/>
    </xf>
    <xf numFmtId="4" fontId="17" fillId="2" borderId="0" xfId="0" applyNumberFormat="1" applyFont="1" applyFill="1" applyAlignment="1">
      <alignment horizontal="center" vertical="top" wrapText="1"/>
    </xf>
    <xf numFmtId="0" fontId="29" fillId="2" borderId="0" xfId="0" applyFont="1" applyFill="1" applyAlignment="1">
      <alignment vertical="top"/>
    </xf>
    <xf numFmtId="4" fontId="19" fillId="2" borderId="3" xfId="0" applyNumberFormat="1" applyFont="1" applyFill="1" applyBorder="1"/>
    <xf numFmtId="0" fontId="17" fillId="2" borderId="3" xfId="4" applyFont="1" applyFill="1" applyBorder="1" applyAlignment="1" applyProtection="1"/>
    <xf numFmtId="171" fontId="19" fillId="2" borderId="3" xfId="1" applyNumberFormat="1" applyFont="1" applyFill="1" applyBorder="1"/>
    <xf numFmtId="171" fontId="17" fillId="2" borderId="0" xfId="0" applyNumberFormat="1" applyFont="1" applyFill="1" applyAlignment="1">
      <alignment horizontal="center" vertical="top" wrapText="1"/>
    </xf>
    <xf numFmtId="171" fontId="17" fillId="2" borderId="3" xfId="0" applyNumberFormat="1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11" fillId="2" borderId="3" xfId="0" applyFont="1" applyFill="1" applyBorder="1" applyAlignment="1">
      <alignment horizontal="left" wrapText="1"/>
    </xf>
    <xf numFmtId="3" fontId="11" fillId="2" borderId="3" xfId="0" applyNumberFormat="1" applyFont="1" applyFill="1" applyBorder="1"/>
    <xf numFmtId="169" fontId="11" fillId="2" borderId="0" xfId="1" applyNumberFormat="1" applyFont="1" applyFill="1"/>
    <xf numFmtId="0" fontId="23" fillId="2" borderId="0" xfId="0" applyFont="1" applyFill="1"/>
    <xf numFmtId="0" fontId="10" fillId="2" borderId="3" xfId="0" applyFont="1" applyFill="1" applyBorder="1" applyAlignment="1">
      <alignment horizontal="left" vertical="top" wrapText="1" shrinkToFit="1"/>
    </xf>
    <xf numFmtId="0" fontId="10" fillId="2" borderId="15" xfId="0" applyFont="1" applyFill="1" applyBorder="1" applyAlignment="1">
      <alignment horizontal="left" vertical="top" wrapText="1"/>
    </xf>
    <xf numFmtId="0" fontId="10" fillId="2" borderId="15" xfId="0" applyFont="1" applyFill="1" applyBorder="1" applyAlignment="1">
      <alignment horizontal="left" vertical="top" wrapText="1" shrinkToFit="1"/>
    </xf>
    <xf numFmtId="0" fontId="10" fillId="2" borderId="16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left" vertical="top" wrapText="1"/>
    </xf>
    <xf numFmtId="0" fontId="11" fillId="2" borderId="18" xfId="0" applyFont="1" applyFill="1" applyBorder="1" applyAlignment="1">
      <alignment horizontal="left" vertical="top" wrapText="1"/>
    </xf>
    <xf numFmtId="0" fontId="11" fillId="2" borderId="17" xfId="0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left" vertical="center"/>
    </xf>
    <xf numFmtId="0" fontId="11" fillId="2" borderId="0" xfId="0" applyFont="1" applyFill="1" applyAlignment="1">
      <alignment vertical="center" wrapText="1"/>
    </xf>
    <xf numFmtId="3" fontId="11" fillId="2" borderId="0" xfId="0" applyNumberFormat="1" applyFont="1" applyFill="1" applyAlignment="1">
      <alignment horizontal="right" vertical="center" wrapText="1"/>
    </xf>
    <xf numFmtId="9" fontId="11" fillId="2" borderId="0" xfId="0" applyNumberFormat="1" applyFont="1" applyFill="1" applyAlignment="1">
      <alignment horizontal="right" vertical="center" wrapText="1"/>
    </xf>
    <xf numFmtId="0" fontId="11" fillId="2" borderId="0" xfId="0" applyFont="1" applyFill="1" applyAlignment="1">
      <alignment horizontal="right" vertical="center" wrapText="1"/>
    </xf>
    <xf numFmtId="3" fontId="27" fillId="0" borderId="3" xfId="0" applyNumberFormat="1" applyFont="1" applyBorder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27" fillId="0" borderId="3" xfId="0" applyFont="1" applyBorder="1" applyAlignment="1">
      <alignment horizontal="center"/>
    </xf>
    <xf numFmtId="0" fontId="10" fillId="2" borderId="3" xfId="0" applyFont="1" applyFill="1" applyBorder="1" applyAlignment="1">
      <alignment horizontal="left" vertical="center" wrapText="1"/>
    </xf>
    <xf numFmtId="3" fontId="27" fillId="0" borderId="3" xfId="0" applyNumberFormat="1" applyFont="1" applyBorder="1"/>
    <xf numFmtId="0" fontId="27" fillId="0" borderId="17" xfId="0" applyFont="1" applyBorder="1" applyAlignment="1">
      <alignment horizontal="center"/>
    </xf>
    <xf numFmtId="179" fontId="27" fillId="0" borderId="3" xfId="1" applyNumberFormat="1" applyFont="1" applyBorder="1"/>
    <xf numFmtId="3" fontId="27" fillId="0" borderId="18" xfId="0" applyNumberFormat="1" applyFont="1" applyBorder="1"/>
    <xf numFmtId="3" fontId="27" fillId="0" borderId="3" xfId="0" applyNumberFormat="1" applyFont="1" applyBorder="1" applyAlignment="1">
      <alignment vertical="center"/>
    </xf>
    <xf numFmtId="3" fontId="27" fillId="0" borderId="20" xfId="0" applyNumberFormat="1" applyFont="1" applyBorder="1" applyAlignment="1">
      <alignment vertical="center"/>
    </xf>
    <xf numFmtId="169" fontId="17" fillId="0" borderId="3" xfId="0" applyNumberFormat="1" applyFont="1" applyBorder="1"/>
    <xf numFmtId="14" fontId="17" fillId="0" borderId="0" xfId="0" applyNumberFormat="1" applyFont="1" applyAlignment="1">
      <alignment horizontal="left" vertical="center"/>
    </xf>
    <xf numFmtId="14" fontId="7" fillId="0" borderId="0" xfId="3" applyNumberFormat="1" applyFont="1"/>
    <xf numFmtId="0" fontId="7" fillId="0" borderId="0" xfId="3" applyFont="1"/>
    <xf numFmtId="173" fontId="7" fillId="0" borderId="0" xfId="3" applyNumberFormat="1" applyFont="1"/>
    <xf numFmtId="3" fontId="7" fillId="0" borderId="0" xfId="3" applyNumberFormat="1" applyFont="1"/>
    <xf numFmtId="0" fontId="7" fillId="0" borderId="0" xfId="0" applyFont="1"/>
    <xf numFmtId="0" fontId="7" fillId="0" borderId="0" xfId="0" applyFont="1" applyAlignment="1">
      <alignment horizontal="center" vertical="top"/>
    </xf>
    <xf numFmtId="14" fontId="7" fillId="3" borderId="0" xfId="3" applyNumberFormat="1" applyFont="1" applyFill="1"/>
    <xf numFmtId="0" fontId="7" fillId="3" borderId="0" xfId="3" applyFont="1" applyFill="1"/>
    <xf numFmtId="173" fontId="7" fillId="3" borderId="0" xfId="3" applyNumberFormat="1" applyFont="1" applyFill="1"/>
    <xf numFmtId="3" fontId="7" fillId="3" borderId="0" xfId="3" applyNumberFormat="1" applyFont="1" applyFill="1"/>
    <xf numFmtId="10" fontId="7" fillId="3" borderId="0" xfId="2" applyNumberFormat="1" applyFont="1" applyFill="1"/>
    <xf numFmtId="0" fontId="7" fillId="3" borderId="0" xfId="0" applyFont="1" applyFill="1"/>
    <xf numFmtId="0" fontId="7" fillId="3" borderId="0" xfId="0" applyFont="1" applyFill="1" applyAlignment="1">
      <alignment horizontal="center" vertical="top"/>
    </xf>
    <xf numFmtId="0" fontId="7" fillId="0" borderId="0" xfId="0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172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/>
    <xf numFmtId="4" fontId="7" fillId="0" borderId="0" xfId="0" applyNumberFormat="1" applyFont="1" applyAlignment="1">
      <alignment horizontal="center" vertical="top"/>
    </xf>
    <xf numFmtId="3" fontId="7" fillId="0" borderId="0" xfId="0" applyNumberFormat="1" applyFont="1"/>
    <xf numFmtId="174" fontId="7" fillId="0" borderId="0" xfId="0" applyNumberFormat="1" applyFont="1"/>
    <xf numFmtId="17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175" fontId="5" fillId="0" borderId="0" xfId="0" applyNumberFormat="1" applyFont="1" applyAlignment="1">
      <alignment horizontal="center" vertical="top"/>
    </xf>
    <xf numFmtId="167" fontId="5" fillId="0" borderId="0" xfId="0" applyNumberFormat="1" applyFont="1" applyAlignment="1">
      <alignment horizontal="center" vertical="top"/>
    </xf>
    <xf numFmtId="172" fontId="5" fillId="0" borderId="0" xfId="0" applyNumberFormat="1" applyFont="1"/>
    <xf numFmtId="173" fontId="5" fillId="0" borderId="0" xfId="0" applyNumberFormat="1" applyFont="1"/>
    <xf numFmtId="173" fontId="7" fillId="0" borderId="0" xfId="0" applyNumberFormat="1" applyFont="1"/>
    <xf numFmtId="10" fontId="7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wrapText="1"/>
    </xf>
    <xf numFmtId="3" fontId="5" fillId="0" borderId="0" xfId="0" applyNumberFormat="1" applyFont="1"/>
    <xf numFmtId="167" fontId="7" fillId="0" borderId="0" xfId="0" applyNumberFormat="1" applyFont="1" applyAlignment="1">
      <alignment horizontal="center" vertical="top"/>
    </xf>
    <xf numFmtId="173" fontId="7" fillId="0" borderId="3" xfId="0" applyNumberFormat="1" applyFont="1" applyBorder="1"/>
    <xf numFmtId="0" fontId="7" fillId="0" borderId="3" xfId="0" applyFont="1" applyBorder="1"/>
    <xf numFmtId="0" fontId="7" fillId="0" borderId="3" xfId="0" applyFont="1" applyBorder="1" applyAlignment="1">
      <alignment vertical="center" wrapText="1"/>
    </xf>
    <xf numFmtId="14" fontId="7" fillId="0" borderId="3" xfId="0" applyNumberFormat="1" applyFont="1" applyBorder="1"/>
    <xf numFmtId="2" fontId="7" fillId="0" borderId="3" xfId="0" applyNumberFormat="1" applyFont="1" applyBorder="1" applyAlignment="1">
      <alignment horizontal="center" vertical="top"/>
    </xf>
    <xf numFmtId="14" fontId="25" fillId="0" borderId="3" xfId="0" applyNumberFormat="1" applyFont="1" applyBorder="1"/>
    <xf numFmtId="14" fontId="25" fillId="0" borderId="3" xfId="0" applyNumberFormat="1" applyFont="1" applyBorder="1" applyAlignment="1">
      <alignment horizontal="center" vertical="top"/>
    </xf>
    <xf numFmtId="170" fontId="7" fillId="0" borderId="3" xfId="0" applyNumberFormat="1" applyFont="1" applyBorder="1" applyAlignment="1">
      <alignment horizontal="center" vertical="top"/>
    </xf>
    <xf numFmtId="169" fontId="7" fillId="0" borderId="0" xfId="0" applyNumberFormat="1" applyFont="1" applyAlignment="1">
      <alignment horizontal="center" vertical="top"/>
    </xf>
    <xf numFmtId="167" fontId="7" fillId="0" borderId="0" xfId="3" applyNumberFormat="1" applyFont="1"/>
    <xf numFmtId="166" fontId="7" fillId="0" borderId="0" xfId="0" applyNumberFormat="1" applyFont="1" applyAlignment="1">
      <alignment horizontal="center" vertical="top"/>
    </xf>
    <xf numFmtId="167" fontId="7" fillId="3" borderId="0" xfId="0" applyNumberFormat="1" applyFont="1" applyFill="1" applyAlignment="1">
      <alignment horizontal="center" vertical="top"/>
    </xf>
    <xf numFmtId="167" fontId="7" fillId="3" borderId="0" xfId="3" applyNumberFormat="1" applyFont="1" applyFill="1"/>
    <xf numFmtId="9" fontId="7" fillId="3" borderId="0" xfId="2" applyFont="1" applyFill="1"/>
    <xf numFmtId="167" fontId="5" fillId="0" borderId="0" xfId="0" applyNumberFormat="1" applyFont="1"/>
    <xf numFmtId="2" fontId="17" fillId="2" borderId="3" xfId="0" applyNumberFormat="1" applyFont="1" applyFill="1" applyBorder="1" applyAlignment="1">
      <alignment horizontal="left" vertical="top" wrapText="1"/>
    </xf>
    <xf numFmtId="2" fontId="31" fillId="2" borderId="0" xfId="0" applyNumberFormat="1" applyFont="1" applyFill="1" applyAlignment="1">
      <alignment vertical="center"/>
    </xf>
    <xf numFmtId="178" fontId="16" fillId="2" borderId="4" xfId="1" applyNumberFormat="1" applyFont="1" applyFill="1" applyBorder="1" applyAlignment="1">
      <alignment vertical="top"/>
    </xf>
    <xf numFmtId="14" fontId="11" fillId="2" borderId="3" xfId="0" applyNumberFormat="1" applyFont="1" applyFill="1" applyBorder="1"/>
    <xf numFmtId="169" fontId="11" fillId="2" borderId="3" xfId="1" applyNumberFormat="1" applyFont="1" applyFill="1" applyBorder="1"/>
    <xf numFmtId="0" fontId="18" fillId="3" borderId="3" xfId="6" applyFont="1" applyFill="1" applyBorder="1" applyAlignment="1">
      <alignment vertical="top"/>
    </xf>
    <xf numFmtId="0" fontId="18" fillId="3" borderId="3" xfId="6" applyFont="1" applyFill="1" applyBorder="1" applyAlignment="1">
      <alignment horizontal="right" vertical="top" wrapText="1"/>
    </xf>
    <xf numFmtId="14" fontId="20" fillId="3" borderId="3" xfId="0" applyNumberFormat="1" applyFont="1" applyFill="1" applyBorder="1"/>
    <xf numFmtId="0" fontId="20" fillId="3" borderId="3" xfId="0" applyFont="1" applyFill="1" applyBorder="1"/>
    <xf numFmtId="0" fontId="18" fillId="3" borderId="3" xfId="0" applyFont="1" applyFill="1" applyBorder="1"/>
    <xf numFmtId="20" fontId="17" fillId="0" borderId="0" xfId="0" applyNumberFormat="1" applyFont="1"/>
    <xf numFmtId="16" fontId="6" fillId="0" borderId="0" xfId="0" applyNumberFormat="1" applyFont="1" applyAlignment="1">
      <alignment vertical="center"/>
    </xf>
    <xf numFmtId="0" fontId="17" fillId="0" borderId="0" xfId="0" applyFont="1" applyAlignment="1">
      <alignment wrapText="1"/>
    </xf>
    <xf numFmtId="181" fontId="7" fillId="0" borderId="3" xfId="1" applyNumberFormat="1" applyFont="1" applyFill="1" applyBorder="1" applyAlignment="1">
      <alignment horizontal="center" vertical="top"/>
    </xf>
    <xf numFmtId="182" fontId="7" fillId="0" borderId="3" xfId="1" applyNumberFormat="1" applyFont="1" applyFill="1" applyBorder="1" applyAlignment="1">
      <alignment horizontal="center" vertical="top"/>
    </xf>
    <xf numFmtId="180" fontId="16" fillId="2" borderId="3" xfId="0" applyNumberFormat="1" applyFont="1" applyFill="1" applyBorder="1" applyAlignment="1">
      <alignment horizontal="left" vertical="top"/>
    </xf>
    <xf numFmtId="180" fontId="16" fillId="2" borderId="20" xfId="0" applyNumberFormat="1" applyFont="1" applyFill="1" applyBorder="1" applyAlignment="1">
      <alignment horizontal="left" vertical="top"/>
    </xf>
    <xf numFmtId="181" fontId="7" fillId="0" borderId="3" xfId="0" applyNumberFormat="1" applyFont="1" applyBorder="1" applyAlignment="1">
      <alignment horizontal="center" vertical="top"/>
    </xf>
    <xf numFmtId="0" fontId="27" fillId="2" borderId="3" xfId="0" applyFont="1" applyFill="1" applyBorder="1" applyAlignment="1">
      <alignment horizontal="center" vertical="center"/>
    </xf>
    <xf numFmtId="3" fontId="27" fillId="2" borderId="3" xfId="0" applyNumberFormat="1" applyFont="1" applyFill="1" applyBorder="1" applyAlignment="1">
      <alignment horizontal="center" vertical="center" wrapText="1" shrinkToFit="1"/>
    </xf>
    <xf numFmtId="0" fontId="36" fillId="0" borderId="3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14" fontId="27" fillId="0" borderId="3" xfId="0" applyNumberFormat="1" applyFont="1" applyBorder="1" applyAlignment="1">
      <alignment vertical="center"/>
    </xf>
    <xf numFmtId="180" fontId="27" fillId="0" borderId="3" xfId="1" applyNumberFormat="1" applyFont="1" applyBorder="1" applyAlignment="1">
      <alignment vertical="center"/>
    </xf>
    <xf numFmtId="183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180" fontId="27" fillId="0" borderId="0" xfId="0" applyNumberFormat="1" applyFont="1" applyAlignment="1">
      <alignment vertical="center"/>
    </xf>
    <xf numFmtId="14" fontId="19" fillId="2" borderId="3" xfId="0" applyNumberFormat="1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 vertical="top" wrapText="1"/>
    </xf>
    <xf numFmtId="0" fontId="20" fillId="2" borderId="3" xfId="0" applyFont="1" applyFill="1" applyBorder="1" applyAlignment="1">
      <alignment horizontal="center" vertical="center" textRotation="90" wrapText="1"/>
    </xf>
    <xf numFmtId="14" fontId="16" fillId="2" borderId="19" xfId="0" applyNumberFormat="1" applyFont="1" applyFill="1" applyBorder="1" applyAlignment="1">
      <alignment horizontal="center" vertical="center"/>
    </xf>
    <xf numFmtId="14" fontId="16" fillId="2" borderId="20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/>
    </xf>
    <xf numFmtId="170" fontId="11" fillId="0" borderId="3" xfId="0" applyNumberFormat="1" applyFont="1" applyBorder="1" applyAlignment="1">
      <alignment horizontal="center" vertical="center"/>
    </xf>
    <xf numFmtId="170" fontId="13" fillId="0" borderId="3" xfId="0" applyNumberFormat="1" applyFont="1" applyBorder="1" applyAlignment="1">
      <alignment horizontal="center" vertical="center"/>
    </xf>
    <xf numFmtId="0" fontId="16" fillId="2" borderId="3" xfId="0" applyFont="1" applyFill="1" applyBorder="1" applyAlignment="1">
      <alignment vertical="top"/>
    </xf>
    <xf numFmtId="0" fontId="16" fillId="2" borderId="3" xfId="0" applyFont="1" applyFill="1" applyBorder="1" applyAlignment="1">
      <alignment horizontal="center" vertical="top"/>
    </xf>
    <xf numFmtId="2" fontId="16" fillId="2" borderId="3" xfId="0" applyNumberFormat="1" applyFont="1" applyFill="1" applyBorder="1" applyAlignment="1">
      <alignment vertical="top"/>
    </xf>
    <xf numFmtId="0" fontId="13" fillId="2" borderId="0" xfId="0" applyFont="1" applyFill="1" applyAlignment="1">
      <alignment vertical="top"/>
    </xf>
    <xf numFmtId="169" fontId="17" fillId="0" borderId="0" xfId="0" applyNumberFormat="1" applyFont="1"/>
  </cellXfs>
  <cellStyles count="14">
    <cellStyle name="Comma" xfId="1" builtinId="3"/>
    <cellStyle name="Comma 2" xfId="7" xr:uid="{2760AA5D-99A7-47B9-AE0F-34700B3DD8CB}"/>
    <cellStyle name="Comma 3" xfId="10" xr:uid="{55D8CD2B-B877-4514-B470-361D4F0D4B90}"/>
    <cellStyle name="Comma 4" xfId="12" xr:uid="{65231CEA-F476-4AC3-82D1-20874750BBED}"/>
    <cellStyle name="Hyperlink" xfId="4" builtinId="8"/>
    <cellStyle name="Normal" xfId="0" builtinId="0"/>
    <cellStyle name="Normal 2" xfId="5" xr:uid="{3A22C18B-B68B-40A5-A183-B3A97A34946E}"/>
    <cellStyle name="Normal 2 2" xfId="9" xr:uid="{1D5EE6CC-AF84-4547-AE5E-CEAE06F28FD3}"/>
    <cellStyle name="Normal 3" xfId="6" xr:uid="{923FEDBB-AE4D-4E24-A96F-B7E9F4B1CBDF}"/>
    <cellStyle name="Normal 4" xfId="8" xr:uid="{AD985BC7-4415-4698-84E3-64D66498F5A3}"/>
    <cellStyle name="Normal 5" xfId="11" xr:uid="{84AAE83E-B746-4F4A-B1B7-448326A22DBB}"/>
    <cellStyle name="Normal 6" xfId="13" xr:uid="{A463503F-BD8C-4653-AA67-09DCD6219847}"/>
    <cellStyle name="Percent" xfId="2" builtinId="5"/>
    <cellStyle name="Standard 2" xfId="3" xr:uid="{0EBD30B9-EA51-44E5-ADE7-E31512886B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325438</xdr:colOff>
      <xdr:row>0</xdr:row>
      <xdr:rowOff>28348</xdr:rowOff>
    </xdr:from>
    <xdr:to>
      <xdr:col>9</xdr:col>
      <xdr:colOff>1812656</xdr:colOff>
      <xdr:row>0</xdr:row>
      <xdr:rowOff>331787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C3F6F5-3B85-4DBA-B7C8-61CFDA0D3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94751" y="28348"/>
          <a:ext cx="1487218" cy="376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1154C-F254-4E1F-A247-856BBE84E9D4}">
  <dimension ref="B2:L37"/>
  <sheetViews>
    <sheetView tabSelected="1" topLeftCell="H1" zoomScaleNormal="100" workbookViewId="0">
      <selection activeCell="D33" sqref="D33"/>
    </sheetView>
  </sheetViews>
  <sheetFormatPr defaultColWidth="8.59765625" defaultRowHeight="11.4"/>
  <cols>
    <col min="1" max="1" width="8.59765625" style="10"/>
    <col min="2" max="2" width="24.3984375" style="10" customWidth="1"/>
    <col min="3" max="3" width="20.8984375" style="10" customWidth="1"/>
    <col min="4" max="4" width="31.69921875" style="10" customWidth="1"/>
    <col min="5" max="5" width="22.5" style="10" customWidth="1"/>
    <col min="6" max="6" width="27.8984375" style="10" customWidth="1"/>
    <col min="7" max="7" width="14.8984375" style="10" bestFit="1" customWidth="1"/>
    <col min="8" max="8" width="16.8984375" style="10" customWidth="1"/>
    <col min="9" max="9" width="14.8984375" style="10" customWidth="1"/>
    <col min="10" max="10" width="12" style="10" customWidth="1"/>
    <col min="11" max="12" width="12.59765625" style="10" bestFit="1" customWidth="1"/>
    <col min="13" max="13" width="14.8984375" style="10" bestFit="1" customWidth="1"/>
    <col min="14" max="16384" width="8.59765625" style="10"/>
  </cols>
  <sheetData>
    <row r="2" spans="2:12">
      <c r="B2" s="11"/>
      <c r="C2" s="11"/>
      <c r="D2" s="12"/>
      <c r="E2" s="12"/>
      <c r="F2" s="13"/>
    </row>
    <row r="3" spans="2:12" ht="12" thickBot="1">
      <c r="B3" s="12"/>
      <c r="C3" s="12"/>
      <c r="D3" s="12"/>
      <c r="E3" s="12"/>
      <c r="F3" s="13"/>
      <c r="K3" s="10">
        <f>J5-I4+1</f>
        <v>270</v>
      </c>
      <c r="L3" s="10">
        <f>K3*24</f>
        <v>6480</v>
      </c>
    </row>
    <row r="4" spans="2:12">
      <c r="B4" s="14" t="s">
        <v>5</v>
      </c>
      <c r="C4" s="15" t="s">
        <v>105</v>
      </c>
      <c r="D4" s="84"/>
      <c r="E4" s="12"/>
      <c r="F4" s="13"/>
      <c r="H4" s="1"/>
      <c r="I4" s="16">
        <v>44869</v>
      </c>
      <c r="J4" s="16">
        <v>44926</v>
      </c>
      <c r="K4" s="10">
        <f>J4-I4+1</f>
        <v>58</v>
      </c>
      <c r="L4" s="10">
        <f t="shared" ref="L4:L5" si="0">K4*24</f>
        <v>1392</v>
      </c>
    </row>
    <row r="5" spans="2:12">
      <c r="B5" s="17" t="s">
        <v>6</v>
      </c>
      <c r="C5" s="78">
        <v>1068</v>
      </c>
      <c r="D5" s="85"/>
      <c r="E5" s="12"/>
      <c r="F5" s="13"/>
      <c r="H5" s="1"/>
      <c r="I5" s="16">
        <v>44927</v>
      </c>
      <c r="J5" s="16">
        <v>45138</v>
      </c>
      <c r="K5" s="10">
        <f>J5-I5+1</f>
        <v>212</v>
      </c>
      <c r="L5" s="10">
        <f t="shared" si="0"/>
        <v>5088</v>
      </c>
    </row>
    <row r="6" spans="2:12">
      <c r="B6" s="17" t="s">
        <v>8</v>
      </c>
      <c r="C6" s="150">
        <v>45440</v>
      </c>
      <c r="D6" s="85"/>
      <c r="E6" s="12"/>
      <c r="F6" s="209"/>
      <c r="G6" s="208"/>
      <c r="I6" s="10" t="s">
        <v>129</v>
      </c>
      <c r="J6" s="10" t="s">
        <v>130</v>
      </c>
    </row>
    <row r="7" spans="2:12" ht="18.600000000000001" customHeight="1">
      <c r="B7" s="21" t="s">
        <v>9</v>
      </c>
      <c r="C7" s="79" t="s">
        <v>115</v>
      </c>
      <c r="D7" s="86"/>
      <c r="E7" s="12"/>
      <c r="F7" s="13"/>
      <c r="H7" s="1" t="s">
        <v>125</v>
      </c>
      <c r="I7" s="18">
        <f>'Exante Values from PDD'!D3*($J$5-$I$4+1)/365</f>
        <v>193201.32681017611</v>
      </c>
      <c r="J7" s="19">
        <f>F13</f>
        <v>122614</v>
      </c>
      <c r="K7" s="20">
        <f>(J7-I7)/I7</f>
        <v>-0.36535632531928453</v>
      </c>
    </row>
    <row r="8" spans="2:12" ht="12" thickBot="1">
      <c r="B8" s="24" t="s">
        <v>7</v>
      </c>
      <c r="C8" s="25" t="s">
        <v>11</v>
      </c>
      <c r="D8" s="87"/>
      <c r="E8" s="12"/>
      <c r="F8" s="13"/>
      <c r="H8" s="1" t="s">
        <v>126</v>
      </c>
      <c r="I8" s="18">
        <f>'Exante Values from PDD'!D4*($J$5-$I$4+1)/365</f>
        <v>50745.205479452052</v>
      </c>
      <c r="J8" s="23">
        <f>'Electricity Generation'!D6</f>
        <v>25945.663798376416</v>
      </c>
      <c r="K8" s="20">
        <f>(J8-ER!I8)/ER!I8</f>
        <v>-0.48870708960115578</v>
      </c>
    </row>
    <row r="9" spans="2:12">
      <c r="H9" s="10" t="s">
        <v>127</v>
      </c>
      <c r="I9" s="10">
        <v>5</v>
      </c>
      <c r="J9" s="10">
        <v>19</v>
      </c>
      <c r="K9" s="20">
        <f>(J9-ER!I9)/ER!I9</f>
        <v>2.8</v>
      </c>
    </row>
    <row r="10" spans="2:12" ht="25.2">
      <c r="B10" s="203" t="s">
        <v>43</v>
      </c>
      <c r="C10" s="204" t="s">
        <v>61</v>
      </c>
      <c r="D10" s="204" t="s">
        <v>111</v>
      </c>
      <c r="E10" s="204" t="s">
        <v>62</v>
      </c>
      <c r="F10" s="204" t="s">
        <v>63</v>
      </c>
      <c r="H10" s="10" t="s">
        <v>128</v>
      </c>
      <c r="I10" s="10">
        <v>1</v>
      </c>
      <c r="J10" s="10">
        <v>2</v>
      </c>
      <c r="K10" s="20">
        <f>(J10-ER!I10)/ER!I10</f>
        <v>1</v>
      </c>
    </row>
    <row r="11" spans="2:12">
      <c r="B11" s="26" t="s">
        <v>117</v>
      </c>
      <c r="C11" s="27">
        <f>SUM(F18:F19)</f>
        <v>29092</v>
      </c>
      <c r="D11" s="27">
        <f>SUM(I18:I19)</f>
        <v>2</v>
      </c>
      <c r="E11" s="27">
        <f>SUM(L18:L19)</f>
        <v>0</v>
      </c>
      <c r="F11" s="27">
        <f>SUM(J18:J19)</f>
        <v>29090</v>
      </c>
      <c r="H11" s="19"/>
    </row>
    <row r="12" spans="2:12">
      <c r="B12" s="26" t="s">
        <v>116</v>
      </c>
      <c r="C12" s="27">
        <f>SUM(F20:F26)</f>
        <v>93532</v>
      </c>
      <c r="D12" s="27">
        <f>SUM(I19:I25)</f>
        <v>8</v>
      </c>
      <c r="E12" s="27">
        <f>SUM(L19:L25)</f>
        <v>0</v>
      </c>
      <c r="F12" s="27">
        <f>SUM(J20:J26)</f>
        <v>93524</v>
      </c>
      <c r="H12" s="19"/>
    </row>
    <row r="13" spans="2:12">
      <c r="B13" s="82" t="s">
        <v>0</v>
      </c>
      <c r="C13" s="83">
        <f>SUM(C11:C12)</f>
        <v>122624</v>
      </c>
      <c r="D13" s="83">
        <f>SUM(D11:D12)</f>
        <v>10</v>
      </c>
      <c r="E13" s="83">
        <f>SUM(E11:E12)</f>
        <v>0</v>
      </c>
      <c r="F13" s="83">
        <f>SUM(F11:F12)</f>
        <v>122614</v>
      </c>
      <c r="H13" s="19"/>
      <c r="I13" s="19"/>
    </row>
    <row r="14" spans="2:12">
      <c r="B14" s="80"/>
      <c r="C14" s="81">
        <f>C13/($J$5-$I$4)*365</f>
        <v>166385.72490706321</v>
      </c>
      <c r="D14" s="81">
        <f t="shared" ref="D14:F14" si="1">D13/($J$5-$I$4)*365</f>
        <v>13.568773234200744</v>
      </c>
      <c r="E14" s="81">
        <f t="shared" si="1"/>
        <v>0</v>
      </c>
      <c r="F14" s="81">
        <f t="shared" si="1"/>
        <v>166372.156133829</v>
      </c>
      <c r="H14" s="19"/>
    </row>
    <row r="15" spans="2:12">
      <c r="D15" s="10" t="s">
        <v>113</v>
      </c>
    </row>
    <row r="16" spans="2:12" ht="16.2">
      <c r="B16" s="205" t="s">
        <v>32</v>
      </c>
      <c r="C16" s="206" t="s">
        <v>33</v>
      </c>
      <c r="D16" s="207" t="s">
        <v>64</v>
      </c>
      <c r="E16" s="207" t="s">
        <v>119</v>
      </c>
      <c r="F16" s="207" t="s">
        <v>40</v>
      </c>
      <c r="G16" s="207" t="s">
        <v>65</v>
      </c>
      <c r="H16" s="207" t="s">
        <v>66</v>
      </c>
      <c r="I16" s="207" t="s">
        <v>41</v>
      </c>
      <c r="J16" s="207" t="s">
        <v>42</v>
      </c>
      <c r="L16"/>
    </row>
    <row r="17" spans="2:12" ht="16.2">
      <c r="B17" s="28"/>
      <c r="C17" s="29"/>
      <c r="D17" s="30" t="s">
        <v>67</v>
      </c>
      <c r="E17" s="30" t="s">
        <v>67</v>
      </c>
      <c r="F17" s="30" t="s">
        <v>67</v>
      </c>
      <c r="G17" s="30" t="s">
        <v>67</v>
      </c>
      <c r="H17" s="30" t="s">
        <v>67</v>
      </c>
      <c r="I17" s="30" t="s">
        <v>67</v>
      </c>
      <c r="J17" s="30" t="s">
        <v>67</v>
      </c>
      <c r="L17"/>
    </row>
    <row r="18" spans="2:12" ht="15.6">
      <c r="B18" s="28">
        <v>44869</v>
      </c>
      <c r="C18" s="28">
        <v>44895</v>
      </c>
      <c r="D18" s="31">
        <f>'Baseline Emission_LFG'!G25</f>
        <v>12398</v>
      </c>
      <c r="E18" s="31">
        <f>'Electricity Generation'!J15</f>
        <v>1324</v>
      </c>
      <c r="F18" s="31">
        <f t="shared" ref="F18:F26" si="2">ROUNDDOWN(SUM(D18:E18),0)</f>
        <v>13722</v>
      </c>
      <c r="G18" s="31">
        <v>0</v>
      </c>
      <c r="H18" s="31">
        <f>'Electricity Generation'!J28</f>
        <v>1</v>
      </c>
      <c r="I18" s="31">
        <f t="shared" ref="I18:I26" si="3">SUM(G18:H18)</f>
        <v>1</v>
      </c>
      <c r="J18" s="31">
        <f t="shared" ref="J18:J26" si="4">ROUNDDOWN(F18-I18-L18,0)</f>
        <v>13721</v>
      </c>
      <c r="L18"/>
    </row>
    <row r="19" spans="2:12" ht="15.6">
      <c r="B19" s="28">
        <v>44896</v>
      </c>
      <c r="C19" s="28">
        <v>44926</v>
      </c>
      <c r="D19" s="31">
        <f>'Baseline Emission_LFG'!G26</f>
        <v>13735</v>
      </c>
      <c r="E19" s="31">
        <f>'Electricity Generation'!J16</f>
        <v>1635</v>
      </c>
      <c r="F19" s="31">
        <f t="shared" si="2"/>
        <v>15370</v>
      </c>
      <c r="G19" s="31">
        <v>0</v>
      </c>
      <c r="H19" s="31">
        <f>'Electricity Generation'!J29</f>
        <v>1</v>
      </c>
      <c r="I19" s="31">
        <f t="shared" si="3"/>
        <v>1</v>
      </c>
      <c r="J19" s="31">
        <f t="shared" si="4"/>
        <v>15369</v>
      </c>
      <c r="L19"/>
    </row>
    <row r="20" spans="2:12" ht="15.6">
      <c r="B20" s="28">
        <v>44927</v>
      </c>
      <c r="C20" s="28">
        <v>44957</v>
      </c>
      <c r="D20" s="31">
        <f>'Baseline Emission_LFG'!G27</f>
        <v>13210</v>
      </c>
      <c r="E20" s="31">
        <f>'Electricity Generation'!J17</f>
        <v>1579</v>
      </c>
      <c r="F20" s="31">
        <f t="shared" si="2"/>
        <v>14789</v>
      </c>
      <c r="G20" s="31">
        <v>0</v>
      </c>
      <c r="H20" s="31">
        <f>'Electricity Generation'!J30</f>
        <v>1</v>
      </c>
      <c r="I20" s="31">
        <f t="shared" si="3"/>
        <v>1</v>
      </c>
      <c r="J20" s="31">
        <f t="shared" si="4"/>
        <v>14788</v>
      </c>
      <c r="L20"/>
    </row>
    <row r="21" spans="2:12" ht="15.6">
      <c r="B21" s="28">
        <v>44958</v>
      </c>
      <c r="C21" s="28">
        <v>44985</v>
      </c>
      <c r="D21" s="31">
        <f>'Baseline Emission_LFG'!G28</f>
        <v>12104</v>
      </c>
      <c r="E21" s="31">
        <f>'Electricity Generation'!J18</f>
        <v>1405</v>
      </c>
      <c r="F21" s="31">
        <f t="shared" si="2"/>
        <v>13509</v>
      </c>
      <c r="G21" s="31">
        <v>0</v>
      </c>
      <c r="H21" s="31">
        <f>'Electricity Generation'!J31</f>
        <v>1</v>
      </c>
      <c r="I21" s="31">
        <f t="shared" si="3"/>
        <v>1</v>
      </c>
      <c r="J21" s="31">
        <f t="shared" si="4"/>
        <v>13508</v>
      </c>
      <c r="L21"/>
    </row>
    <row r="22" spans="2:12" ht="15.6">
      <c r="B22" s="28">
        <v>44986</v>
      </c>
      <c r="C22" s="28">
        <v>45016</v>
      </c>
      <c r="D22" s="31">
        <f>'Baseline Emission_LFG'!G29</f>
        <v>12894</v>
      </c>
      <c r="E22" s="31">
        <f>'Electricity Generation'!J19</f>
        <v>1484</v>
      </c>
      <c r="F22" s="31">
        <f t="shared" si="2"/>
        <v>14378</v>
      </c>
      <c r="G22" s="31">
        <v>0</v>
      </c>
      <c r="H22" s="31">
        <f>'Electricity Generation'!J32</f>
        <v>1</v>
      </c>
      <c r="I22" s="31">
        <f t="shared" si="3"/>
        <v>1</v>
      </c>
      <c r="J22" s="31">
        <f t="shared" si="4"/>
        <v>14377</v>
      </c>
      <c r="L22"/>
    </row>
    <row r="23" spans="2:12" ht="15.6">
      <c r="B23" s="28">
        <v>45017</v>
      </c>
      <c r="C23" s="28">
        <v>45046</v>
      </c>
      <c r="D23" s="31">
        <f>'Baseline Emission_LFG'!G30</f>
        <v>11114</v>
      </c>
      <c r="E23" s="31">
        <f>'Electricity Generation'!J20</f>
        <v>1300</v>
      </c>
      <c r="F23" s="31">
        <f t="shared" si="2"/>
        <v>12414</v>
      </c>
      <c r="G23" s="31">
        <v>0</v>
      </c>
      <c r="H23" s="31">
        <f>'Electricity Generation'!J33</f>
        <v>2</v>
      </c>
      <c r="I23" s="31">
        <f t="shared" si="3"/>
        <v>2</v>
      </c>
      <c r="J23" s="31">
        <f t="shared" si="4"/>
        <v>12412</v>
      </c>
      <c r="L23"/>
    </row>
    <row r="24" spans="2:12" ht="15.6">
      <c r="B24" s="28">
        <v>45047</v>
      </c>
      <c r="C24" s="28">
        <v>45077</v>
      </c>
      <c r="D24" s="31">
        <f>'Baseline Emission_LFG'!G31</f>
        <v>11310</v>
      </c>
      <c r="E24" s="31">
        <f>'Electricity Generation'!J21</f>
        <v>1371</v>
      </c>
      <c r="F24" s="31">
        <f t="shared" si="2"/>
        <v>12681</v>
      </c>
      <c r="G24" s="31">
        <v>0</v>
      </c>
      <c r="H24" s="31">
        <f>'Electricity Generation'!J34</f>
        <v>1</v>
      </c>
      <c r="I24" s="31">
        <f t="shared" si="3"/>
        <v>1</v>
      </c>
      <c r="J24" s="31">
        <f t="shared" si="4"/>
        <v>12680</v>
      </c>
      <c r="L24"/>
    </row>
    <row r="25" spans="2:12" ht="15.6">
      <c r="B25" s="28">
        <v>45078</v>
      </c>
      <c r="C25" s="28">
        <v>45107</v>
      </c>
      <c r="D25" s="31">
        <f>'Baseline Emission_LFG'!G32</f>
        <v>11192</v>
      </c>
      <c r="E25" s="31">
        <f>'Electricity Generation'!J22</f>
        <v>1315</v>
      </c>
      <c r="F25" s="31">
        <f t="shared" si="2"/>
        <v>12507</v>
      </c>
      <c r="G25" s="31">
        <v>0</v>
      </c>
      <c r="H25" s="31">
        <f>'Electricity Generation'!J35</f>
        <v>1</v>
      </c>
      <c r="I25" s="31">
        <f t="shared" si="3"/>
        <v>1</v>
      </c>
      <c r="J25" s="31">
        <f t="shared" si="4"/>
        <v>12506</v>
      </c>
      <c r="L25"/>
    </row>
    <row r="26" spans="2:12" ht="15.6">
      <c r="B26" s="28">
        <v>45108</v>
      </c>
      <c r="C26" s="28">
        <v>45138</v>
      </c>
      <c r="D26" s="31">
        <f>'Baseline Emission_LFG'!G33</f>
        <v>11881</v>
      </c>
      <c r="E26" s="31">
        <f>'Electricity Generation'!J23</f>
        <v>1373</v>
      </c>
      <c r="F26" s="31">
        <f t="shared" si="2"/>
        <v>13254</v>
      </c>
      <c r="G26" s="31">
        <v>0</v>
      </c>
      <c r="H26" s="31">
        <f>'Electricity Generation'!J36</f>
        <v>1</v>
      </c>
      <c r="I26" s="31">
        <f t="shared" si="3"/>
        <v>1</v>
      </c>
      <c r="J26" s="31">
        <f t="shared" si="4"/>
        <v>13253</v>
      </c>
      <c r="L26"/>
    </row>
    <row r="27" spans="2:12" ht="15.6">
      <c r="B27" s="32" t="s">
        <v>34</v>
      </c>
      <c r="C27" s="33"/>
      <c r="D27" s="31">
        <f t="shared" ref="D27:J27" si="5">SUM(D18:D26)</f>
        <v>109838</v>
      </c>
      <c r="E27" s="31">
        <f>SUM(E18:E26)</f>
        <v>12786</v>
      </c>
      <c r="F27" s="31">
        <f t="shared" si="5"/>
        <v>122624</v>
      </c>
      <c r="G27" s="31">
        <f t="shared" si="5"/>
        <v>0</v>
      </c>
      <c r="H27" s="31">
        <f t="shared" si="5"/>
        <v>10</v>
      </c>
      <c r="I27" s="31">
        <f t="shared" si="5"/>
        <v>10</v>
      </c>
      <c r="J27" s="31">
        <f t="shared" si="5"/>
        <v>122614</v>
      </c>
      <c r="L27"/>
    </row>
    <row r="28" spans="2:12" ht="29.4" customHeight="1"/>
    <row r="29" spans="2:12">
      <c r="B29" s="225" t="s">
        <v>104</v>
      </c>
      <c r="C29" s="225"/>
      <c r="D29" s="30"/>
      <c r="E29" s="30"/>
      <c r="F29" s="30"/>
      <c r="G29" s="30"/>
      <c r="H29" s="30"/>
      <c r="I29" s="30"/>
      <c r="J29" s="30"/>
    </row>
    <row r="30" spans="2:12">
      <c r="B30" s="225" t="str">
        <f>B11</f>
        <v>04/11/2022 - 31/12/2022</v>
      </c>
      <c r="C30" s="225"/>
      <c r="D30" s="149">
        <f>SUM(D18:D19)</f>
        <v>26133</v>
      </c>
      <c r="E30" s="149">
        <f t="shared" ref="D30:J30" si="6">SUM(E18:E19)</f>
        <v>2959</v>
      </c>
      <c r="F30" s="149">
        <f t="shared" si="6"/>
        <v>29092</v>
      </c>
      <c r="G30" s="149">
        <f t="shared" si="6"/>
        <v>0</v>
      </c>
      <c r="H30" s="149">
        <f t="shared" si="6"/>
        <v>2</v>
      </c>
      <c r="I30" s="149">
        <f t="shared" si="6"/>
        <v>2</v>
      </c>
      <c r="J30" s="149">
        <f t="shared" si="6"/>
        <v>29090</v>
      </c>
    </row>
    <row r="31" spans="2:12">
      <c r="B31" s="225" t="s">
        <v>118</v>
      </c>
      <c r="C31" s="225"/>
      <c r="D31" s="149">
        <f t="shared" ref="D31:J31" si="7">SUM(D20:D26)</f>
        <v>83705</v>
      </c>
      <c r="E31" s="149">
        <f t="shared" si="7"/>
        <v>9827</v>
      </c>
      <c r="F31" s="149">
        <f t="shared" si="7"/>
        <v>93532</v>
      </c>
      <c r="G31" s="149">
        <f t="shared" si="7"/>
        <v>0</v>
      </c>
      <c r="H31" s="149">
        <f t="shared" si="7"/>
        <v>8</v>
      </c>
      <c r="I31" s="149">
        <f t="shared" si="7"/>
        <v>8</v>
      </c>
      <c r="J31" s="149">
        <f t="shared" si="7"/>
        <v>93524</v>
      </c>
    </row>
    <row r="32" spans="2:12" ht="15.6">
      <c r="B32"/>
      <c r="D32" s="244">
        <f>D30+D31</f>
        <v>109838</v>
      </c>
    </row>
    <row r="34" spans="2:6">
      <c r="B34" s="210"/>
      <c r="C34" s="210"/>
      <c r="D34" s="210"/>
      <c r="E34" s="210"/>
      <c r="F34" s="210"/>
    </row>
    <row r="35" spans="2:6">
      <c r="B35" s="210"/>
      <c r="C35" s="210"/>
      <c r="D35" s="210"/>
      <c r="F35" s="210"/>
    </row>
    <row r="36" spans="2:6">
      <c r="B36" s="210"/>
      <c r="C36" s="210"/>
      <c r="D36" s="210"/>
      <c r="F36" s="210"/>
    </row>
    <row r="37" spans="2:6">
      <c r="B37" s="210"/>
      <c r="C37" s="210"/>
      <c r="D37" s="210"/>
      <c r="F37" s="210"/>
    </row>
  </sheetData>
  <mergeCells count="3">
    <mergeCell ref="B29:C29"/>
    <mergeCell ref="B30:C30"/>
    <mergeCell ref="B31:C3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6BBD2-E896-4171-997F-4F3C9BC6CADA}">
  <dimension ref="A1:AD332"/>
  <sheetViews>
    <sheetView topLeftCell="R1" zoomScaleNormal="100" workbookViewId="0">
      <pane ySplit="1" topLeftCell="A8" activePane="bottomLeft" state="frozen"/>
      <selection pane="bottomLeft" activeCell="T32" sqref="T32"/>
    </sheetView>
  </sheetViews>
  <sheetFormatPr defaultColWidth="8.3984375" defaultRowHeight="11.4"/>
  <cols>
    <col min="1" max="1" width="10.5" style="156" bestFit="1" customWidth="1"/>
    <col min="2" max="2" width="6" style="156" bestFit="1" customWidth="1"/>
    <col min="3" max="3" width="12.8984375" style="169" customWidth="1"/>
    <col min="4" max="4" width="12.09765625" style="169" customWidth="1"/>
    <col min="5" max="5" width="12.69921875" style="169" customWidth="1"/>
    <col min="6" max="6" width="14.09765625" style="169" customWidth="1"/>
    <col min="7" max="7" width="15.69921875" style="169" customWidth="1"/>
    <col min="8" max="8" width="13" style="156" customWidth="1"/>
    <col min="9" max="9" width="9.19921875" style="193" customWidth="1"/>
    <col min="10" max="10" width="24.59765625" style="182" customWidth="1"/>
    <col min="11" max="11" width="11.09765625" style="156" bestFit="1" customWidth="1"/>
    <col min="12" max="12" width="9.69921875" style="156" customWidth="1"/>
    <col min="13" max="13" width="19" style="156" bestFit="1" customWidth="1"/>
    <col min="14" max="14" width="22.59765625" style="156" bestFit="1" customWidth="1"/>
    <col min="15" max="19" width="22.59765625" style="156" customWidth="1"/>
    <col min="20" max="21" width="25.69921875" style="156" bestFit="1" customWidth="1"/>
    <col min="22" max="16384" width="8.3984375" style="156"/>
  </cols>
  <sheetData>
    <row r="1" spans="1:20" ht="26.4">
      <c r="A1" s="164" t="s">
        <v>18</v>
      </c>
      <c r="B1" s="165" t="s">
        <v>19</v>
      </c>
      <c r="C1" s="166" t="s">
        <v>94</v>
      </c>
      <c r="D1" s="167" t="s">
        <v>93</v>
      </c>
      <c r="E1" s="167" t="s">
        <v>90</v>
      </c>
      <c r="F1" s="164" t="s">
        <v>20</v>
      </c>
      <c r="G1" s="167" t="s">
        <v>151</v>
      </c>
      <c r="H1" s="167" t="s">
        <v>95</v>
      </c>
      <c r="I1" s="155"/>
      <c r="J1" s="168"/>
      <c r="K1" s="155"/>
    </row>
    <row r="2" spans="1:20" s="163" customFormat="1">
      <c r="A2" s="157">
        <v>44869</v>
      </c>
      <c r="B2" s="158">
        <f>MONTH(A2)</f>
        <v>11</v>
      </c>
      <c r="C2" s="159">
        <f t="shared" ref="C2:C29" si="0">E2*G2*$J$3</f>
        <v>492.00855257291983</v>
      </c>
      <c r="D2" s="159">
        <f>C2</f>
        <v>492.00855257291983</v>
      </c>
      <c r="E2" s="160">
        <f>SUM('Daily values for LFG flow, CH4'!C6:C32)</f>
        <v>1343805.2477000002</v>
      </c>
      <c r="F2" s="160">
        <f>E2</f>
        <v>1343805.2477000002</v>
      </c>
      <c r="G2" s="161">
        <f>AVERAGE('Daily values for LFG flow, CH4'!D6:D32)/100</f>
        <v>0.51135593055555562</v>
      </c>
      <c r="H2" s="159">
        <v>0</v>
      </c>
      <c r="I2" s="162"/>
      <c r="J2" s="162"/>
      <c r="K2" s="162"/>
    </row>
    <row r="3" spans="1:20">
      <c r="A3" s="151">
        <v>44870</v>
      </c>
      <c r="B3" s="152">
        <f t="shared" ref="B3:B28" si="1">MONTH(A3)</f>
        <v>11</v>
      </c>
      <c r="C3" s="153">
        <f t="shared" si="0"/>
        <v>0</v>
      </c>
      <c r="D3" s="153">
        <f t="shared" ref="D3:D28" si="2">C3</f>
        <v>0</v>
      </c>
      <c r="F3" s="154">
        <f t="shared" ref="F3:F28" si="3">E3</f>
        <v>0</v>
      </c>
      <c r="G3" s="3"/>
      <c r="H3" s="153">
        <v>0</v>
      </c>
      <c r="I3" s="155"/>
      <c r="J3" s="174">
        <f>J4/1000</f>
        <v>7.1599999999999995E-4</v>
      </c>
      <c r="K3" s="173" t="s">
        <v>22</v>
      </c>
      <c r="M3" s="170"/>
      <c r="N3" s="155"/>
      <c r="O3" s="155"/>
      <c r="P3" s="155"/>
      <c r="Q3" s="155"/>
      <c r="R3" s="155"/>
      <c r="S3" s="155"/>
      <c r="T3" s="171"/>
    </row>
    <row r="4" spans="1:20">
      <c r="A4" s="151">
        <v>44871</v>
      </c>
      <c r="B4" s="152">
        <f t="shared" si="1"/>
        <v>11</v>
      </c>
      <c r="C4" s="153">
        <f t="shared" si="0"/>
        <v>0</v>
      </c>
      <c r="D4" s="153">
        <f t="shared" si="2"/>
        <v>0</v>
      </c>
      <c r="F4" s="154">
        <f t="shared" si="3"/>
        <v>0</v>
      </c>
      <c r="G4" s="3"/>
      <c r="H4" s="153">
        <v>0</v>
      </c>
      <c r="I4" s="155"/>
      <c r="J4" s="172">
        <v>0.71599999999999997</v>
      </c>
      <c r="K4" s="173" t="s">
        <v>21</v>
      </c>
      <c r="M4" s="170"/>
      <c r="N4" s="155"/>
      <c r="O4" s="155"/>
      <c r="P4" s="155"/>
      <c r="Q4" s="155"/>
      <c r="R4" s="155"/>
      <c r="S4" s="155"/>
      <c r="T4" s="171"/>
    </row>
    <row r="5" spans="1:20">
      <c r="A5" s="151">
        <v>44872</v>
      </c>
      <c r="B5" s="152">
        <f t="shared" si="1"/>
        <v>11</v>
      </c>
      <c r="C5" s="153">
        <f t="shared" si="0"/>
        <v>0</v>
      </c>
      <c r="D5" s="153">
        <f t="shared" si="2"/>
        <v>0</v>
      </c>
      <c r="F5" s="154">
        <f t="shared" si="3"/>
        <v>0</v>
      </c>
      <c r="G5" s="3"/>
      <c r="H5" s="153">
        <v>0</v>
      </c>
      <c r="I5" s="155"/>
      <c r="J5" s="175"/>
      <c r="K5" s="173"/>
      <c r="M5" s="170"/>
      <c r="N5" s="155"/>
      <c r="O5" s="155"/>
      <c r="P5" s="155"/>
      <c r="Q5" s="155"/>
      <c r="R5" s="155"/>
      <c r="S5" s="155"/>
      <c r="T5" s="171"/>
    </row>
    <row r="6" spans="1:20">
      <c r="A6" s="151">
        <v>44873</v>
      </c>
      <c r="B6" s="152">
        <f t="shared" si="1"/>
        <v>11</v>
      </c>
      <c r="C6" s="153">
        <f t="shared" si="0"/>
        <v>0</v>
      </c>
      <c r="D6" s="153">
        <f t="shared" si="2"/>
        <v>0</v>
      </c>
      <c r="F6" s="154">
        <f t="shared" si="3"/>
        <v>0</v>
      </c>
      <c r="G6" s="3"/>
      <c r="H6" s="153">
        <v>0</v>
      </c>
      <c r="I6" s="155"/>
      <c r="J6" s="168"/>
      <c r="K6" s="168"/>
      <c r="M6" s="170"/>
      <c r="N6" s="155"/>
      <c r="O6" s="155"/>
      <c r="P6" s="155"/>
      <c r="Q6" s="155"/>
      <c r="R6" s="155"/>
      <c r="S6" s="155"/>
      <c r="T6" s="171"/>
    </row>
    <row r="7" spans="1:20">
      <c r="A7" s="151">
        <v>44874</v>
      </c>
      <c r="B7" s="152">
        <f t="shared" si="1"/>
        <v>11</v>
      </c>
      <c r="C7" s="153">
        <f t="shared" si="0"/>
        <v>0</v>
      </c>
      <c r="D7" s="153">
        <f t="shared" si="2"/>
        <v>0</v>
      </c>
      <c r="E7" s="153"/>
      <c r="F7" s="154">
        <f t="shared" si="3"/>
        <v>0</v>
      </c>
      <c r="G7" s="4"/>
      <c r="H7" s="153">
        <v>0</v>
      </c>
      <c r="I7" s="155"/>
      <c r="J7" s="176"/>
      <c r="K7" s="177"/>
      <c r="M7" s="170"/>
      <c r="N7" s="155"/>
      <c r="O7" s="155"/>
      <c r="P7" s="155"/>
      <c r="Q7" s="155"/>
      <c r="R7" s="155"/>
      <c r="S7" s="155"/>
      <c r="T7" s="171"/>
    </row>
    <row r="8" spans="1:20">
      <c r="A8" s="151">
        <v>44875</v>
      </c>
      <c r="B8" s="152">
        <f t="shared" si="1"/>
        <v>11</v>
      </c>
      <c r="C8" s="153">
        <f t="shared" si="0"/>
        <v>0</v>
      </c>
      <c r="D8" s="153">
        <f t="shared" si="2"/>
        <v>0</v>
      </c>
      <c r="E8" s="153"/>
      <c r="F8" s="154">
        <f t="shared" si="3"/>
        <v>0</v>
      </c>
      <c r="G8" s="4"/>
      <c r="H8" s="153">
        <v>0</v>
      </c>
      <c r="I8" s="155"/>
      <c r="J8" s="168" t="s">
        <v>23</v>
      </c>
      <c r="K8" s="177">
        <f>SUM(D:D)</f>
        <v>4358.8034716093198</v>
      </c>
      <c r="M8" s="178"/>
      <c r="N8" s="155"/>
      <c r="O8" s="155"/>
      <c r="P8" s="155"/>
      <c r="Q8" s="155"/>
      <c r="R8" s="155"/>
      <c r="S8" s="155"/>
      <c r="T8" s="179"/>
    </row>
    <row r="9" spans="1:20" ht="14.4" customHeight="1">
      <c r="A9" s="151">
        <v>44876</v>
      </c>
      <c r="B9" s="152">
        <f t="shared" si="1"/>
        <v>11</v>
      </c>
      <c r="C9" s="153">
        <f t="shared" si="0"/>
        <v>0</v>
      </c>
      <c r="D9" s="153">
        <f t="shared" si="2"/>
        <v>0</v>
      </c>
      <c r="E9" s="153"/>
      <c r="F9" s="154">
        <f t="shared" si="3"/>
        <v>0</v>
      </c>
      <c r="G9" s="4"/>
      <c r="H9" s="153">
        <v>0</v>
      </c>
      <c r="I9" s="155"/>
      <c r="J9" s="168" t="s">
        <v>24</v>
      </c>
      <c r="K9" s="197">
        <f>SUM(F:F)</f>
        <v>12159785.7477</v>
      </c>
    </row>
    <row r="10" spans="1:20">
      <c r="A10" s="151">
        <v>44877</v>
      </c>
      <c r="B10" s="152">
        <f t="shared" si="1"/>
        <v>11</v>
      </c>
      <c r="C10" s="153">
        <f t="shared" si="0"/>
        <v>0</v>
      </c>
      <c r="D10" s="153">
        <f t="shared" si="2"/>
        <v>0</v>
      </c>
      <c r="E10" s="153"/>
      <c r="F10" s="154">
        <f t="shared" si="3"/>
        <v>0</v>
      </c>
      <c r="G10" s="4"/>
      <c r="H10" s="153">
        <v>0</v>
      </c>
      <c r="I10" s="155"/>
      <c r="J10" s="168" t="s">
        <v>25</v>
      </c>
      <c r="K10" s="177">
        <f>SUM(H:H)</f>
        <v>0</v>
      </c>
    </row>
    <row r="11" spans="1:20" ht="22.8">
      <c r="A11" s="151">
        <v>44878</v>
      </c>
      <c r="B11" s="152">
        <f t="shared" si="1"/>
        <v>11</v>
      </c>
      <c r="C11" s="153">
        <f t="shared" si="0"/>
        <v>0</v>
      </c>
      <c r="D11" s="153">
        <f t="shared" si="2"/>
        <v>0</v>
      </c>
      <c r="E11" s="153"/>
      <c r="F11" s="154">
        <f t="shared" si="3"/>
        <v>0</v>
      </c>
      <c r="G11" s="4"/>
      <c r="H11" s="153">
        <v>0</v>
      </c>
      <c r="I11" s="155"/>
      <c r="J11" s="180" t="s">
        <v>26</v>
      </c>
      <c r="K11" s="181">
        <f>0.005*K9</f>
        <v>60798.928738499999</v>
      </c>
      <c r="P11" s="156" t="s">
        <v>136</v>
      </c>
      <c r="R11" s="156" t="s">
        <v>138</v>
      </c>
    </row>
    <row r="12" spans="1:20">
      <c r="A12" s="151">
        <v>44879</v>
      </c>
      <c r="B12" s="152">
        <f t="shared" si="1"/>
        <v>11</v>
      </c>
      <c r="C12" s="153">
        <f t="shared" si="0"/>
        <v>0</v>
      </c>
      <c r="D12" s="153">
        <f t="shared" si="2"/>
        <v>0</v>
      </c>
      <c r="E12" s="153"/>
      <c r="F12" s="154">
        <f t="shared" si="3"/>
        <v>0</v>
      </c>
      <c r="G12" s="4"/>
      <c r="H12" s="153">
        <v>0</v>
      </c>
      <c r="I12" s="155"/>
      <c r="P12" s="156">
        <f>273.15</f>
        <v>273.14999999999998</v>
      </c>
      <c r="R12" s="156">
        <v>1</v>
      </c>
    </row>
    <row r="13" spans="1:20">
      <c r="A13" s="151">
        <v>44880</v>
      </c>
      <c r="B13" s="152">
        <f t="shared" si="1"/>
        <v>11</v>
      </c>
      <c r="C13" s="153">
        <f t="shared" si="0"/>
        <v>0</v>
      </c>
      <c r="D13" s="153">
        <f t="shared" si="2"/>
        <v>0</v>
      </c>
      <c r="E13" s="153"/>
      <c r="F13" s="154">
        <f t="shared" si="3"/>
        <v>0</v>
      </c>
      <c r="G13" s="4"/>
      <c r="H13" s="153">
        <v>0</v>
      </c>
      <c r="I13" s="155"/>
    </row>
    <row r="14" spans="1:20">
      <c r="A14" s="151">
        <v>44881</v>
      </c>
      <c r="B14" s="152">
        <f t="shared" si="1"/>
        <v>11</v>
      </c>
      <c r="C14" s="153">
        <f t="shared" si="0"/>
        <v>0</v>
      </c>
      <c r="D14" s="153">
        <f t="shared" si="2"/>
        <v>0</v>
      </c>
      <c r="E14" s="153"/>
      <c r="F14" s="154">
        <f t="shared" si="3"/>
        <v>0</v>
      </c>
      <c r="G14" s="4"/>
      <c r="H14" s="153">
        <v>0</v>
      </c>
      <c r="I14" s="155"/>
      <c r="J14" s="180"/>
      <c r="K14" s="155"/>
    </row>
    <row r="15" spans="1:20">
      <c r="A15" s="151">
        <v>44882</v>
      </c>
      <c r="B15" s="152">
        <f t="shared" si="1"/>
        <v>11</v>
      </c>
      <c r="C15" s="153">
        <f t="shared" si="0"/>
        <v>0</v>
      </c>
      <c r="D15" s="153">
        <f t="shared" si="2"/>
        <v>0</v>
      </c>
      <c r="E15" s="153"/>
      <c r="F15" s="154">
        <f t="shared" si="3"/>
        <v>0</v>
      </c>
      <c r="G15" s="4"/>
      <c r="H15" s="153">
        <v>0</v>
      </c>
      <c r="I15" s="155"/>
      <c r="J15" s="178"/>
      <c r="K15" s="155"/>
      <c r="S15" s="156" t="s">
        <v>112</v>
      </c>
      <c r="T15" s="156" t="s">
        <v>114</v>
      </c>
    </row>
    <row r="16" spans="1:20" ht="15">
      <c r="A16" s="151">
        <v>44883</v>
      </c>
      <c r="B16" s="152">
        <f t="shared" si="1"/>
        <v>11</v>
      </c>
      <c r="C16" s="153">
        <f t="shared" si="0"/>
        <v>0</v>
      </c>
      <c r="D16" s="153">
        <f t="shared" si="2"/>
        <v>0</v>
      </c>
      <c r="E16" s="153"/>
      <c r="F16" s="154">
        <f t="shared" si="3"/>
        <v>0</v>
      </c>
      <c r="G16" s="4"/>
      <c r="H16" s="153">
        <v>0</v>
      </c>
      <c r="I16" s="155"/>
      <c r="J16" s="156"/>
      <c r="K16" s="183" t="s">
        <v>10</v>
      </c>
      <c r="L16" s="184" t="s">
        <v>91</v>
      </c>
      <c r="M16" s="185" t="s">
        <v>93</v>
      </c>
      <c r="N16" s="88" t="str">
        <f>F1</f>
        <v>LFG total [Nm³/h]</v>
      </c>
      <c r="O16" s="88" t="s">
        <v>134</v>
      </c>
      <c r="P16" s="88" t="s">
        <v>139</v>
      </c>
      <c r="Q16" s="88" t="s">
        <v>135</v>
      </c>
      <c r="R16" s="88" t="s">
        <v>137</v>
      </c>
      <c r="S16" s="88" t="s">
        <v>131</v>
      </c>
      <c r="T16" s="185" t="s">
        <v>92</v>
      </c>
    </row>
    <row r="17" spans="1:20">
      <c r="A17" s="151">
        <v>44884</v>
      </c>
      <c r="B17" s="152">
        <f t="shared" si="1"/>
        <v>11</v>
      </c>
      <c r="C17" s="153">
        <f t="shared" si="0"/>
        <v>0</v>
      </c>
      <c r="D17" s="153">
        <f t="shared" si="2"/>
        <v>0</v>
      </c>
      <c r="E17" s="153"/>
      <c r="F17" s="154">
        <f t="shared" si="3"/>
        <v>0</v>
      </c>
      <c r="G17" s="4"/>
      <c r="H17" s="153">
        <v>0</v>
      </c>
      <c r="I17" s="155"/>
      <c r="J17" s="156">
        <f>MONTH(K17)</f>
        <v>11</v>
      </c>
      <c r="K17" s="186">
        <v>44869</v>
      </c>
      <c r="L17" s="186">
        <v>44895</v>
      </c>
      <c r="M17" s="187">
        <f t="shared" ref="M17:M25" si="4">SUMIF(B$2:B$332,J17,D$2:D$332)</f>
        <v>492.00855257291983</v>
      </c>
      <c r="N17" s="88">
        <v>1343805</v>
      </c>
      <c r="O17" s="212">
        <v>128.79830000000001</v>
      </c>
      <c r="P17" s="212">
        <f>O17*0.000986923267</f>
        <v>0.12711403902004612</v>
      </c>
      <c r="Q17" s="211">
        <v>26.9</v>
      </c>
      <c r="R17" s="215">
        <f>Q17+$P$12</f>
        <v>300.04999999999995</v>
      </c>
      <c r="S17" s="88">
        <f>N17*($R$12/P17)*(R17/$P$12)</f>
        <v>11612752.239453271</v>
      </c>
      <c r="T17" s="187">
        <f t="shared" ref="T17:T25" si="5">SUMIF(B$2:B$332,J17,G$2:G$332)</f>
        <v>0.51135593055555562</v>
      </c>
    </row>
    <row r="18" spans="1:20">
      <c r="A18" s="151">
        <v>44885</v>
      </c>
      <c r="B18" s="152">
        <f t="shared" si="1"/>
        <v>11</v>
      </c>
      <c r="C18" s="153">
        <f t="shared" si="0"/>
        <v>0</v>
      </c>
      <c r="D18" s="153">
        <f t="shared" si="2"/>
        <v>0</v>
      </c>
      <c r="E18" s="153"/>
      <c r="F18" s="154">
        <f t="shared" si="3"/>
        <v>0</v>
      </c>
      <c r="G18" s="4"/>
      <c r="H18" s="153">
        <v>0</v>
      </c>
      <c r="I18" s="155"/>
      <c r="J18" s="156">
        <f t="shared" ref="J18:J25" si="6">MONTH(K18)</f>
        <v>12</v>
      </c>
      <c r="K18" s="186">
        <v>44896</v>
      </c>
      <c r="L18" s="186">
        <v>44926</v>
      </c>
      <c r="M18" s="187">
        <f t="shared" si="4"/>
        <v>545.06056790239995</v>
      </c>
      <c r="N18" s="88">
        <v>1498244</v>
      </c>
      <c r="O18" s="212">
        <v>124.111</v>
      </c>
      <c r="P18" s="212">
        <f t="shared" ref="P18:P25" si="7">O18*0.000986923267</f>
        <v>0.12248803359063701</v>
      </c>
      <c r="Q18" s="211">
        <v>26.3</v>
      </c>
      <c r="R18" s="215">
        <f t="shared" ref="R18:R25" si="8">Q18+$P$12</f>
        <v>299.45</v>
      </c>
      <c r="S18" s="88">
        <f t="shared" ref="S18:S25" si="9">(R18/P18)*N18/($P$12/$R$12)</f>
        <v>13409481.860945346</v>
      </c>
      <c r="T18" s="187">
        <f t="shared" si="5"/>
        <v>0.5081</v>
      </c>
    </row>
    <row r="19" spans="1:20">
      <c r="A19" s="151">
        <v>44886</v>
      </c>
      <c r="B19" s="152">
        <f t="shared" si="1"/>
        <v>11</v>
      </c>
      <c r="C19" s="153">
        <f t="shared" si="0"/>
        <v>0</v>
      </c>
      <c r="D19" s="153">
        <f t="shared" si="2"/>
        <v>0</v>
      </c>
      <c r="E19" s="153"/>
      <c r="F19" s="154">
        <f t="shared" si="3"/>
        <v>0</v>
      </c>
      <c r="G19" s="4"/>
      <c r="H19" s="153">
        <v>0</v>
      </c>
      <c r="I19" s="155"/>
      <c r="J19" s="156">
        <f t="shared" si="6"/>
        <v>1</v>
      </c>
      <c r="K19" s="186">
        <v>44927</v>
      </c>
      <c r="L19" s="186">
        <v>44957</v>
      </c>
      <c r="M19" s="187">
        <f t="shared" si="4"/>
        <v>524.2064200655999</v>
      </c>
      <c r="N19" s="88">
        <v>1454374</v>
      </c>
      <c r="O19" s="212">
        <v>117.5401</v>
      </c>
      <c r="P19" s="212">
        <f t="shared" si="7"/>
        <v>0.1160030594955067</v>
      </c>
      <c r="Q19" s="211">
        <v>26.1</v>
      </c>
      <c r="R19" s="215">
        <f t="shared" si="8"/>
        <v>299.25</v>
      </c>
      <c r="S19" s="88">
        <f t="shared" si="9"/>
        <v>13735346.274772229</v>
      </c>
      <c r="T19" s="187">
        <f t="shared" si="5"/>
        <v>0.50339999999999996</v>
      </c>
    </row>
    <row r="20" spans="1:20">
      <c r="A20" s="151">
        <v>44887</v>
      </c>
      <c r="B20" s="152">
        <f t="shared" si="1"/>
        <v>11</v>
      </c>
      <c r="C20" s="153">
        <f t="shared" si="0"/>
        <v>0</v>
      </c>
      <c r="D20" s="153">
        <f t="shared" si="2"/>
        <v>0</v>
      </c>
      <c r="E20" s="153"/>
      <c r="F20" s="154">
        <f t="shared" si="3"/>
        <v>0</v>
      </c>
      <c r="G20" s="4"/>
      <c r="H20" s="153">
        <v>0</v>
      </c>
      <c r="I20" s="155"/>
      <c r="J20" s="156">
        <f t="shared" si="6"/>
        <v>2</v>
      </c>
      <c r="K20" s="186">
        <v>44958</v>
      </c>
      <c r="L20" s="186">
        <v>44985</v>
      </c>
      <c r="M20" s="187">
        <f t="shared" si="4"/>
        <v>480.3366518496</v>
      </c>
      <c r="N20" s="88">
        <v>1376973</v>
      </c>
      <c r="O20" s="212">
        <v>124.2452</v>
      </c>
      <c r="P20" s="212">
        <f t="shared" si="7"/>
        <v>0.1226204786930684</v>
      </c>
      <c r="Q20" s="211">
        <v>25.4</v>
      </c>
      <c r="R20" s="215">
        <f t="shared" si="8"/>
        <v>298.54999999999995</v>
      </c>
      <c r="S20" s="88">
        <f t="shared" si="9"/>
        <v>12273778.685529618</v>
      </c>
      <c r="T20" s="187">
        <f t="shared" si="5"/>
        <v>0.48720000000000002</v>
      </c>
    </row>
    <row r="21" spans="1:20">
      <c r="A21" s="151">
        <v>44888</v>
      </c>
      <c r="B21" s="152">
        <f t="shared" si="1"/>
        <v>11</v>
      </c>
      <c r="C21" s="153">
        <f t="shared" si="0"/>
        <v>0</v>
      </c>
      <c r="D21" s="153">
        <f t="shared" si="2"/>
        <v>0</v>
      </c>
      <c r="E21" s="153"/>
      <c r="F21" s="154">
        <f t="shared" si="3"/>
        <v>0</v>
      </c>
      <c r="G21" s="4"/>
      <c r="H21" s="153">
        <v>0</v>
      </c>
      <c r="I21" s="155"/>
      <c r="J21" s="156">
        <f t="shared" si="6"/>
        <v>3</v>
      </c>
      <c r="K21" s="186">
        <v>44986</v>
      </c>
      <c r="L21" s="186">
        <v>45016</v>
      </c>
      <c r="M21" s="187">
        <f t="shared" si="4"/>
        <v>511.68799277359994</v>
      </c>
      <c r="N21" s="88">
        <v>1444902</v>
      </c>
      <c r="O21" s="212">
        <v>125.7731</v>
      </c>
      <c r="P21" s="212">
        <f t="shared" si="7"/>
        <v>0.12412839875271771</v>
      </c>
      <c r="Q21" s="211">
        <v>28.7</v>
      </c>
      <c r="R21" s="215">
        <f t="shared" si="8"/>
        <v>301.84999999999997</v>
      </c>
      <c r="S21" s="88">
        <f t="shared" si="9"/>
        <v>12863442.646567483</v>
      </c>
      <c r="T21" s="187">
        <f t="shared" si="5"/>
        <v>0.49459999999999998</v>
      </c>
    </row>
    <row r="22" spans="1:20">
      <c r="A22" s="151">
        <v>44889</v>
      </c>
      <c r="B22" s="152">
        <f t="shared" si="1"/>
        <v>11</v>
      </c>
      <c r="C22" s="153">
        <f t="shared" si="0"/>
        <v>0</v>
      </c>
      <c r="D22" s="153">
        <f t="shared" si="2"/>
        <v>0</v>
      </c>
      <c r="E22" s="153"/>
      <c r="F22" s="154">
        <f t="shared" si="3"/>
        <v>0</v>
      </c>
      <c r="G22" s="2"/>
      <c r="H22" s="153">
        <v>0</v>
      </c>
      <c r="I22" s="155"/>
      <c r="J22" s="156">
        <f t="shared" si="6"/>
        <v>4</v>
      </c>
      <c r="K22" s="186">
        <v>45017</v>
      </c>
      <c r="L22" s="186">
        <v>45046</v>
      </c>
      <c r="M22" s="187">
        <f t="shared" si="4"/>
        <v>441.05047033199997</v>
      </c>
      <c r="N22" s="88">
        <v>1186883</v>
      </c>
      <c r="O22" s="212">
        <v>122.74850000000001</v>
      </c>
      <c r="P22" s="212">
        <f t="shared" si="7"/>
        <v>0.12114335063934951</v>
      </c>
      <c r="Q22" s="211">
        <v>30.6</v>
      </c>
      <c r="R22" s="215">
        <f t="shared" si="8"/>
        <v>303.75</v>
      </c>
      <c r="S22" s="88">
        <f t="shared" si="9"/>
        <v>10894904.047588736</v>
      </c>
      <c r="T22" s="187">
        <f t="shared" si="5"/>
        <v>0.51900000000000002</v>
      </c>
    </row>
    <row r="23" spans="1:20">
      <c r="A23" s="151">
        <v>44890</v>
      </c>
      <c r="B23" s="152">
        <f t="shared" si="1"/>
        <v>11</v>
      </c>
      <c r="C23" s="153">
        <f t="shared" si="0"/>
        <v>0</v>
      </c>
      <c r="D23" s="153">
        <f t="shared" si="2"/>
        <v>0</v>
      </c>
      <c r="F23" s="154">
        <f t="shared" si="3"/>
        <v>0</v>
      </c>
      <c r="G23" s="5"/>
      <c r="H23" s="153">
        <v>0</v>
      </c>
      <c r="I23" s="155"/>
      <c r="J23" s="156">
        <f t="shared" si="6"/>
        <v>5</v>
      </c>
      <c r="K23" s="186">
        <v>45047</v>
      </c>
      <c r="L23" s="186">
        <v>45077</v>
      </c>
      <c r="M23" s="187">
        <f t="shared" si="4"/>
        <v>448.83607031999998</v>
      </c>
      <c r="N23" s="88">
        <v>1266396</v>
      </c>
      <c r="O23" s="212">
        <v>122.6176</v>
      </c>
      <c r="P23" s="212">
        <f t="shared" si="7"/>
        <v>0.12101416238369921</v>
      </c>
      <c r="Q23" s="211">
        <v>31.8</v>
      </c>
      <c r="R23" s="215">
        <f t="shared" si="8"/>
        <v>304.95</v>
      </c>
      <c r="S23" s="88">
        <f t="shared" si="9"/>
        <v>11683171.822290391</v>
      </c>
      <c r="T23" s="187">
        <f t="shared" si="5"/>
        <v>0.495</v>
      </c>
    </row>
    <row r="24" spans="1:20">
      <c r="A24" s="151">
        <v>44891</v>
      </c>
      <c r="B24" s="152">
        <f t="shared" si="1"/>
        <v>11</v>
      </c>
      <c r="C24" s="153">
        <f t="shared" si="0"/>
        <v>0</v>
      </c>
      <c r="D24" s="153">
        <f t="shared" si="2"/>
        <v>0</v>
      </c>
      <c r="F24" s="154">
        <f t="shared" si="3"/>
        <v>0</v>
      </c>
      <c r="G24" s="5"/>
      <c r="H24" s="153">
        <v>0</v>
      </c>
      <c r="I24" s="155"/>
      <c r="J24" s="156">
        <f t="shared" si="6"/>
        <v>6</v>
      </c>
      <c r="K24" s="186">
        <v>45078</v>
      </c>
      <c r="L24" s="186">
        <v>45107</v>
      </c>
      <c r="M24" s="187">
        <f t="shared" si="4"/>
        <v>444.12904056759993</v>
      </c>
      <c r="N24" s="88">
        <v>1254129</v>
      </c>
      <c r="O24" s="212">
        <v>119.70829999999999</v>
      </c>
      <c r="P24" s="212">
        <f t="shared" si="7"/>
        <v>0.11814290652301609</v>
      </c>
      <c r="Q24" s="211">
        <v>36.700000000000003</v>
      </c>
      <c r="R24" s="215">
        <f t="shared" si="8"/>
        <v>309.84999999999997</v>
      </c>
      <c r="S24" s="88">
        <f t="shared" si="9"/>
        <v>12041618.254196011</v>
      </c>
      <c r="T24" s="187">
        <f t="shared" si="5"/>
        <v>0.49459999999999998</v>
      </c>
    </row>
    <row r="25" spans="1:20">
      <c r="A25" s="151">
        <v>44892</v>
      </c>
      <c r="B25" s="152">
        <f t="shared" si="1"/>
        <v>11</v>
      </c>
      <c r="C25" s="153">
        <f t="shared" si="0"/>
        <v>0</v>
      </c>
      <c r="D25" s="153">
        <f t="shared" si="2"/>
        <v>0</v>
      </c>
      <c r="F25" s="154">
        <f t="shared" si="3"/>
        <v>0</v>
      </c>
      <c r="G25" s="5"/>
      <c r="H25" s="153">
        <v>0</v>
      </c>
      <c r="I25" s="155"/>
      <c r="J25" s="156">
        <f t="shared" si="6"/>
        <v>7</v>
      </c>
      <c r="K25" s="186">
        <v>45108</v>
      </c>
      <c r="L25" s="186">
        <v>45138</v>
      </c>
      <c r="M25" s="187">
        <f t="shared" si="4"/>
        <v>471.48770522559994</v>
      </c>
      <c r="N25" s="88">
        <v>1334081</v>
      </c>
      <c r="O25" s="212">
        <v>121.13500000000001</v>
      </c>
      <c r="P25" s="212">
        <f t="shared" si="7"/>
        <v>0.11955094994804501</v>
      </c>
      <c r="Q25" s="211">
        <v>39.6</v>
      </c>
      <c r="R25" s="215">
        <f t="shared" si="8"/>
        <v>312.75</v>
      </c>
      <c r="S25" s="88">
        <f t="shared" si="9"/>
        <v>12776893.686403593</v>
      </c>
      <c r="T25" s="187">
        <f t="shared" si="5"/>
        <v>0.49359999999999998</v>
      </c>
    </row>
    <row r="26" spans="1:20">
      <c r="A26" s="151">
        <v>44893</v>
      </c>
      <c r="B26" s="152">
        <f t="shared" si="1"/>
        <v>11</v>
      </c>
      <c r="C26" s="153">
        <f t="shared" si="0"/>
        <v>0</v>
      </c>
      <c r="D26" s="153">
        <f t="shared" si="2"/>
        <v>0</v>
      </c>
      <c r="F26" s="154">
        <f t="shared" si="3"/>
        <v>0</v>
      </c>
      <c r="G26" s="5"/>
      <c r="H26" s="153">
        <v>0</v>
      </c>
      <c r="I26" s="155"/>
      <c r="J26" s="156"/>
      <c r="K26" s="186"/>
      <c r="L26" s="186"/>
      <c r="M26" s="187"/>
      <c r="N26" s="88"/>
      <c r="O26" s="88"/>
      <c r="P26" s="88"/>
      <c r="Q26" s="88"/>
      <c r="R26" s="88"/>
      <c r="S26" s="88"/>
      <c r="T26" s="187"/>
    </row>
    <row r="27" spans="1:20">
      <c r="A27" s="151">
        <v>44894</v>
      </c>
      <c r="B27" s="152">
        <f t="shared" si="1"/>
        <v>11</v>
      </c>
      <c r="C27" s="153">
        <f t="shared" si="0"/>
        <v>0</v>
      </c>
      <c r="D27" s="153">
        <f t="shared" si="2"/>
        <v>0</v>
      </c>
      <c r="F27" s="154">
        <f t="shared" si="3"/>
        <v>0</v>
      </c>
      <c r="G27" s="5"/>
      <c r="H27" s="153">
        <v>0</v>
      </c>
      <c r="I27" s="155"/>
      <c r="J27" s="156"/>
      <c r="K27" s="186"/>
      <c r="L27" s="186"/>
      <c r="M27" s="187"/>
      <c r="N27" s="88"/>
      <c r="O27" s="88"/>
      <c r="P27" s="88"/>
      <c r="Q27" s="88"/>
      <c r="R27" s="88"/>
      <c r="S27" s="88"/>
      <c r="T27" s="187"/>
    </row>
    <row r="28" spans="1:20">
      <c r="A28" s="151">
        <v>44895</v>
      </c>
      <c r="B28" s="152">
        <f t="shared" si="1"/>
        <v>11</v>
      </c>
      <c r="C28" s="153">
        <f t="shared" si="0"/>
        <v>0</v>
      </c>
      <c r="D28" s="153">
        <f t="shared" si="2"/>
        <v>0</v>
      </c>
      <c r="F28" s="154">
        <f t="shared" si="3"/>
        <v>0</v>
      </c>
      <c r="G28" s="5"/>
      <c r="H28" s="153">
        <v>0</v>
      </c>
      <c r="I28" s="155"/>
      <c r="J28" s="156"/>
    </row>
    <row r="29" spans="1:20" s="163" customFormat="1" ht="15.6">
      <c r="A29" s="157">
        <v>44896</v>
      </c>
      <c r="B29" s="158">
        <f>MONTH(A29)</f>
        <v>12</v>
      </c>
      <c r="C29" s="159">
        <f t="shared" si="0"/>
        <v>545.06056790239995</v>
      </c>
      <c r="D29" s="159">
        <f>C29</f>
        <v>545.06056790239995</v>
      </c>
      <c r="E29" s="159">
        <v>1498244</v>
      </c>
      <c r="F29" s="160">
        <f>E29</f>
        <v>1498244</v>
      </c>
      <c r="G29" s="161">
        <v>0.5081</v>
      </c>
      <c r="H29" s="159">
        <v>0</v>
      </c>
      <c r="I29" s="162"/>
      <c r="J29" s="194"/>
      <c r="K29"/>
      <c r="L29"/>
      <c r="M29"/>
      <c r="N29"/>
      <c r="O29"/>
      <c r="P29"/>
      <c r="Q29"/>
      <c r="R29"/>
      <c r="S29"/>
      <c r="T29"/>
    </row>
    <row r="30" spans="1:20" ht="15.6">
      <c r="A30" s="151">
        <v>44897</v>
      </c>
      <c r="B30" s="152">
        <f t="shared" ref="B30:B63" si="10">MONTH(A30)</f>
        <v>12</v>
      </c>
      <c r="C30" s="153">
        <v>0</v>
      </c>
      <c r="D30" s="153">
        <f t="shared" ref="D30:D63" si="11">C30</f>
        <v>0</v>
      </c>
      <c r="E30" s="154"/>
      <c r="F30" s="154">
        <f t="shared" ref="F30:F63" si="12">E30</f>
        <v>0</v>
      </c>
      <c r="G30" s="2"/>
      <c r="H30" s="153">
        <v>0</v>
      </c>
      <c r="I30" s="155"/>
      <c r="K30"/>
      <c r="L30"/>
      <c r="M30"/>
      <c r="N30"/>
      <c r="O30"/>
      <c r="P30"/>
      <c r="Q30"/>
      <c r="R30"/>
      <c r="S30"/>
      <c r="T30"/>
    </row>
    <row r="31" spans="1:20" ht="12">
      <c r="A31" s="151">
        <v>44898</v>
      </c>
      <c r="B31" s="152">
        <f t="shared" si="10"/>
        <v>12</v>
      </c>
      <c r="C31" s="153">
        <f t="shared" ref="C31:C62" si="13">E31*G31*$J$3</f>
        <v>0</v>
      </c>
      <c r="D31" s="153">
        <f t="shared" si="11"/>
        <v>0</v>
      </c>
      <c r="E31" s="153"/>
      <c r="F31" s="154">
        <f t="shared" si="12"/>
        <v>0</v>
      </c>
      <c r="G31" s="2"/>
      <c r="H31" s="153">
        <v>0</v>
      </c>
      <c r="I31" s="155"/>
      <c r="K31" s="188">
        <f>K30</f>
        <v>0</v>
      </c>
      <c r="L31" s="189">
        <f>L18</f>
        <v>44926</v>
      </c>
      <c r="M31" s="187">
        <f>M17+M18</f>
        <v>1037.0691204753198</v>
      </c>
      <c r="N31" s="88">
        <f>N17+N18</f>
        <v>2842049</v>
      </c>
      <c r="O31" s="88"/>
      <c r="P31" s="190">
        <f>AVERAGE(P17:P18)</f>
        <v>0.12480103630534156</v>
      </c>
      <c r="Q31" s="190"/>
      <c r="R31" s="190">
        <f>AVERAGE(Q17:Q18)</f>
        <v>26.6</v>
      </c>
      <c r="S31" s="88">
        <f>S18+S17</f>
        <v>25022234.100398615</v>
      </c>
      <c r="T31" s="190">
        <f>AVERAGE(T17:T18)</f>
        <v>0.50972796527777775</v>
      </c>
    </row>
    <row r="32" spans="1:20" ht="12">
      <c r="A32" s="151">
        <v>44899</v>
      </c>
      <c r="B32" s="152">
        <f t="shared" si="10"/>
        <v>12</v>
      </c>
      <c r="C32" s="153">
        <f t="shared" si="13"/>
        <v>0</v>
      </c>
      <c r="D32" s="153">
        <f t="shared" si="11"/>
        <v>0</v>
      </c>
      <c r="E32" s="153"/>
      <c r="F32" s="154">
        <f t="shared" si="12"/>
        <v>0</v>
      </c>
      <c r="G32" s="2"/>
      <c r="H32" s="153">
        <v>0</v>
      </c>
      <c r="I32" s="155"/>
      <c r="K32" s="188">
        <f>K19</f>
        <v>44927</v>
      </c>
      <c r="L32" s="189">
        <f>L25</f>
        <v>45138</v>
      </c>
      <c r="M32" s="187">
        <f>SUM(M19:M27)</f>
        <v>3321.7343511339996</v>
      </c>
      <c r="N32" s="88">
        <f>SUM(N19:N27)</f>
        <v>9317738</v>
      </c>
      <c r="O32" s="88"/>
      <c r="P32" s="190">
        <f>AVERAGE(P19:P25)</f>
        <v>0.12037190091934323</v>
      </c>
      <c r="Q32" s="190"/>
      <c r="R32" s="190">
        <f>AVERAGE(Q19:Q25)</f>
        <v>31.271428571428572</v>
      </c>
      <c r="S32" s="88">
        <f>SUM(S19:S25)</f>
        <v>86269155.417348042</v>
      </c>
      <c r="T32" s="190">
        <f>AVERAGE(T19:T25)</f>
        <v>0.49820000000000003</v>
      </c>
    </row>
    <row r="33" spans="1:19">
      <c r="A33" s="151">
        <v>44900</v>
      </c>
      <c r="B33" s="152">
        <f t="shared" si="10"/>
        <v>12</v>
      </c>
      <c r="C33" s="153">
        <f t="shared" si="13"/>
        <v>0</v>
      </c>
      <c r="D33" s="153">
        <f t="shared" si="11"/>
        <v>0</v>
      </c>
      <c r="E33" s="153"/>
      <c r="F33" s="154">
        <f t="shared" si="12"/>
        <v>0</v>
      </c>
      <c r="G33" s="2"/>
      <c r="H33" s="153">
        <v>0</v>
      </c>
      <c r="I33" s="155"/>
      <c r="K33" s="155"/>
      <c r="M33" s="187">
        <f>SUM(M31:M32)</f>
        <v>4358.8034716093189</v>
      </c>
      <c r="N33" s="191">
        <f>SUM(N31:N32)</f>
        <v>12159787</v>
      </c>
      <c r="O33" s="191"/>
      <c r="P33" s="191"/>
      <c r="Q33" s="191"/>
      <c r="R33" s="191"/>
      <c r="S33" s="191">
        <f>S31+S32</f>
        <v>111291389.51774666</v>
      </c>
    </row>
    <row r="34" spans="1:19">
      <c r="A34" s="151">
        <v>44901</v>
      </c>
      <c r="B34" s="152">
        <f t="shared" si="10"/>
        <v>12</v>
      </c>
      <c r="C34" s="153">
        <f t="shared" si="13"/>
        <v>0</v>
      </c>
      <c r="D34" s="153">
        <f t="shared" si="11"/>
        <v>0</v>
      </c>
      <c r="E34" s="153"/>
      <c r="F34" s="154">
        <f t="shared" si="12"/>
        <v>0</v>
      </c>
      <c r="G34" s="2"/>
      <c r="H34" s="153">
        <v>0</v>
      </c>
      <c r="I34" s="155"/>
      <c r="K34" s="155"/>
    </row>
    <row r="35" spans="1:19">
      <c r="A35" s="151">
        <v>44902</v>
      </c>
      <c r="B35" s="152">
        <f t="shared" si="10"/>
        <v>12</v>
      </c>
      <c r="C35" s="153">
        <f t="shared" si="13"/>
        <v>0</v>
      </c>
      <c r="D35" s="153">
        <f t="shared" si="11"/>
        <v>0</v>
      </c>
      <c r="E35" s="153"/>
      <c r="F35" s="154">
        <f t="shared" si="12"/>
        <v>0</v>
      </c>
      <c r="G35" s="2"/>
      <c r="H35" s="153">
        <v>0</v>
      </c>
      <c r="I35" s="155"/>
      <c r="K35" s="155"/>
    </row>
    <row r="36" spans="1:19">
      <c r="A36" s="151">
        <v>44903</v>
      </c>
      <c r="B36" s="152">
        <f t="shared" si="10"/>
        <v>12</v>
      </c>
      <c r="C36" s="153">
        <f t="shared" si="13"/>
        <v>0</v>
      </c>
      <c r="D36" s="153">
        <f t="shared" si="11"/>
        <v>0</v>
      </c>
      <c r="E36" s="153"/>
      <c r="F36" s="154">
        <f t="shared" si="12"/>
        <v>0</v>
      </c>
      <c r="G36" s="2"/>
      <c r="H36" s="153">
        <v>0</v>
      </c>
      <c r="I36" s="155"/>
      <c r="K36" s="155"/>
    </row>
    <row r="37" spans="1:19">
      <c r="A37" s="151">
        <v>44904</v>
      </c>
      <c r="B37" s="152">
        <f t="shared" si="10"/>
        <v>12</v>
      </c>
      <c r="C37" s="153">
        <f t="shared" si="13"/>
        <v>0</v>
      </c>
      <c r="D37" s="153">
        <f t="shared" si="11"/>
        <v>0</v>
      </c>
      <c r="E37" s="153"/>
      <c r="F37" s="154">
        <f t="shared" si="12"/>
        <v>0</v>
      </c>
      <c r="G37" s="2"/>
      <c r="H37" s="153">
        <v>0</v>
      </c>
      <c r="I37" s="155"/>
      <c r="J37" s="155"/>
      <c r="K37" s="155"/>
    </row>
    <row r="38" spans="1:19">
      <c r="A38" s="151">
        <v>44905</v>
      </c>
      <c r="B38" s="152">
        <f t="shared" si="10"/>
        <v>12</v>
      </c>
      <c r="C38" s="153">
        <f t="shared" si="13"/>
        <v>0</v>
      </c>
      <c r="D38" s="153">
        <f t="shared" si="11"/>
        <v>0</v>
      </c>
      <c r="E38" s="153"/>
      <c r="F38" s="154">
        <f t="shared" si="12"/>
        <v>0</v>
      </c>
      <c r="G38" s="2"/>
      <c r="H38" s="153">
        <v>0</v>
      </c>
      <c r="I38" s="155"/>
      <c r="J38" s="155"/>
      <c r="K38" s="155"/>
    </row>
    <row r="39" spans="1:19">
      <c r="A39" s="151">
        <v>44906</v>
      </c>
      <c r="B39" s="152">
        <f t="shared" si="10"/>
        <v>12</v>
      </c>
      <c r="C39" s="153">
        <f t="shared" si="13"/>
        <v>0</v>
      </c>
      <c r="D39" s="153">
        <f t="shared" si="11"/>
        <v>0</v>
      </c>
      <c r="E39" s="153"/>
      <c r="F39" s="154">
        <f t="shared" si="12"/>
        <v>0</v>
      </c>
      <c r="G39" s="2"/>
      <c r="H39" s="153">
        <v>0</v>
      </c>
      <c r="I39" s="155"/>
      <c r="J39" s="155"/>
      <c r="K39" s="155"/>
    </row>
    <row r="40" spans="1:19">
      <c r="A40" s="151">
        <v>44907</v>
      </c>
      <c r="B40" s="152">
        <f t="shared" si="10"/>
        <v>12</v>
      </c>
      <c r="C40" s="153">
        <f t="shared" si="13"/>
        <v>0</v>
      </c>
      <c r="D40" s="153">
        <f t="shared" si="11"/>
        <v>0</v>
      </c>
      <c r="E40" s="153"/>
      <c r="F40" s="154">
        <f t="shared" si="12"/>
        <v>0</v>
      </c>
      <c r="G40" s="2"/>
      <c r="H40" s="153">
        <v>0</v>
      </c>
      <c r="I40" s="155"/>
      <c r="J40" s="155"/>
      <c r="K40" s="155"/>
    </row>
    <row r="41" spans="1:19">
      <c r="A41" s="151">
        <v>44908</v>
      </c>
      <c r="B41" s="152">
        <f t="shared" si="10"/>
        <v>12</v>
      </c>
      <c r="C41" s="153">
        <f t="shared" si="13"/>
        <v>0</v>
      </c>
      <c r="D41" s="153">
        <f t="shared" si="11"/>
        <v>0</v>
      </c>
      <c r="E41" s="153"/>
      <c r="F41" s="154">
        <f t="shared" si="12"/>
        <v>0</v>
      </c>
      <c r="G41" s="2"/>
      <c r="H41" s="153">
        <v>0</v>
      </c>
      <c r="I41" s="155"/>
      <c r="J41" s="155"/>
      <c r="K41" s="155"/>
    </row>
    <row r="42" spans="1:19">
      <c r="A42" s="151">
        <v>44909</v>
      </c>
      <c r="B42" s="152">
        <f t="shared" si="10"/>
        <v>12</v>
      </c>
      <c r="C42" s="153">
        <f t="shared" si="13"/>
        <v>0</v>
      </c>
      <c r="D42" s="153">
        <f t="shared" si="11"/>
        <v>0</v>
      </c>
      <c r="E42" s="153"/>
      <c r="F42" s="154">
        <f t="shared" si="12"/>
        <v>0</v>
      </c>
      <c r="G42" s="2"/>
      <c r="H42" s="153">
        <v>0</v>
      </c>
      <c r="I42" s="155"/>
      <c r="J42" s="155"/>
      <c r="K42" s="155"/>
    </row>
    <row r="43" spans="1:19">
      <c r="A43" s="151">
        <v>44910</v>
      </c>
      <c r="B43" s="152">
        <f t="shared" si="10"/>
        <v>12</v>
      </c>
      <c r="C43" s="153">
        <f t="shared" si="13"/>
        <v>0</v>
      </c>
      <c r="D43" s="153">
        <f t="shared" si="11"/>
        <v>0</v>
      </c>
      <c r="E43" s="153"/>
      <c r="F43" s="154">
        <f t="shared" si="12"/>
        <v>0</v>
      </c>
      <c r="G43" s="2"/>
      <c r="H43" s="153">
        <v>0</v>
      </c>
      <c r="I43" s="155"/>
      <c r="J43" s="155"/>
      <c r="K43" s="155"/>
    </row>
    <row r="44" spans="1:19">
      <c r="A44" s="151">
        <v>44911</v>
      </c>
      <c r="B44" s="152">
        <f t="shared" si="10"/>
        <v>12</v>
      </c>
      <c r="C44" s="153">
        <f t="shared" si="13"/>
        <v>0</v>
      </c>
      <c r="D44" s="153">
        <f t="shared" si="11"/>
        <v>0</v>
      </c>
      <c r="E44" s="153"/>
      <c r="F44" s="154">
        <f t="shared" si="12"/>
        <v>0</v>
      </c>
      <c r="G44" s="2"/>
      <c r="H44" s="153">
        <v>0</v>
      </c>
      <c r="I44" s="155"/>
      <c r="J44" s="155"/>
      <c r="K44" s="155"/>
    </row>
    <row r="45" spans="1:19">
      <c r="A45" s="151">
        <v>44912</v>
      </c>
      <c r="B45" s="152">
        <f t="shared" si="10"/>
        <v>12</v>
      </c>
      <c r="C45" s="153">
        <f t="shared" si="13"/>
        <v>0</v>
      </c>
      <c r="D45" s="153">
        <f t="shared" si="11"/>
        <v>0</v>
      </c>
      <c r="E45" s="153"/>
      <c r="F45" s="154">
        <f t="shared" si="12"/>
        <v>0</v>
      </c>
      <c r="G45" s="2"/>
      <c r="H45" s="153">
        <v>0</v>
      </c>
      <c r="I45" s="155"/>
      <c r="J45" s="155"/>
      <c r="K45" s="155"/>
    </row>
    <row r="46" spans="1:19">
      <c r="A46" s="151">
        <v>44913</v>
      </c>
      <c r="B46" s="152">
        <f t="shared" si="10"/>
        <v>12</v>
      </c>
      <c r="C46" s="153">
        <f t="shared" si="13"/>
        <v>0</v>
      </c>
      <c r="D46" s="153">
        <f t="shared" si="11"/>
        <v>0</v>
      </c>
      <c r="E46" s="153"/>
      <c r="F46" s="154">
        <f t="shared" si="12"/>
        <v>0</v>
      </c>
      <c r="G46" s="2"/>
      <c r="H46" s="153">
        <v>0</v>
      </c>
      <c r="I46" s="155"/>
      <c r="J46" s="155"/>
      <c r="K46" s="155"/>
    </row>
    <row r="47" spans="1:19">
      <c r="A47" s="151">
        <v>44914</v>
      </c>
      <c r="B47" s="152">
        <f t="shared" si="10"/>
        <v>12</v>
      </c>
      <c r="C47" s="153">
        <f t="shared" si="13"/>
        <v>0</v>
      </c>
      <c r="D47" s="153">
        <f t="shared" si="11"/>
        <v>0</v>
      </c>
      <c r="E47" s="153"/>
      <c r="F47" s="154">
        <f t="shared" si="12"/>
        <v>0</v>
      </c>
      <c r="G47" s="2"/>
      <c r="H47" s="153">
        <v>0</v>
      </c>
      <c r="I47" s="155"/>
      <c r="J47" s="155"/>
      <c r="K47" s="155"/>
    </row>
    <row r="48" spans="1:19">
      <c r="A48" s="151">
        <v>44915</v>
      </c>
      <c r="B48" s="152">
        <f t="shared" si="10"/>
        <v>12</v>
      </c>
      <c r="C48" s="153">
        <f t="shared" si="13"/>
        <v>0</v>
      </c>
      <c r="D48" s="153">
        <f t="shared" si="11"/>
        <v>0</v>
      </c>
      <c r="E48" s="153"/>
      <c r="F48" s="154">
        <f t="shared" si="12"/>
        <v>0</v>
      </c>
      <c r="G48" s="2"/>
      <c r="H48" s="153">
        <v>0</v>
      </c>
      <c r="I48" s="155"/>
      <c r="J48" s="155"/>
      <c r="K48" s="155"/>
    </row>
    <row r="49" spans="1:11">
      <c r="A49" s="151">
        <v>44916</v>
      </c>
      <c r="B49" s="152">
        <f t="shared" si="10"/>
        <v>12</v>
      </c>
      <c r="C49" s="153">
        <f t="shared" si="13"/>
        <v>0</v>
      </c>
      <c r="D49" s="153">
        <f t="shared" si="11"/>
        <v>0</v>
      </c>
      <c r="E49" s="153"/>
      <c r="F49" s="154">
        <f t="shared" si="12"/>
        <v>0</v>
      </c>
      <c r="G49" s="2"/>
      <c r="H49" s="153">
        <v>0</v>
      </c>
      <c r="I49" s="155"/>
      <c r="J49" s="155"/>
      <c r="K49" s="155"/>
    </row>
    <row r="50" spans="1:11">
      <c r="A50" s="151">
        <v>44917</v>
      </c>
      <c r="B50" s="152">
        <f t="shared" si="10"/>
        <v>12</v>
      </c>
      <c r="C50" s="153">
        <f t="shared" si="13"/>
        <v>0</v>
      </c>
      <c r="D50" s="153">
        <f t="shared" si="11"/>
        <v>0</v>
      </c>
      <c r="E50" s="153"/>
      <c r="F50" s="154">
        <f t="shared" si="12"/>
        <v>0</v>
      </c>
      <c r="G50" s="2"/>
      <c r="H50" s="153">
        <v>0</v>
      </c>
      <c r="I50" s="155"/>
      <c r="J50" s="155"/>
      <c r="K50" s="155"/>
    </row>
    <row r="51" spans="1:11">
      <c r="A51" s="151">
        <v>44918</v>
      </c>
      <c r="B51" s="152">
        <f t="shared" si="10"/>
        <v>12</v>
      </c>
      <c r="C51" s="153">
        <f t="shared" si="13"/>
        <v>0</v>
      </c>
      <c r="D51" s="153">
        <f t="shared" si="11"/>
        <v>0</v>
      </c>
      <c r="E51" s="153"/>
      <c r="F51" s="154">
        <f t="shared" si="12"/>
        <v>0</v>
      </c>
      <c r="G51" s="2"/>
      <c r="H51" s="153">
        <v>0</v>
      </c>
      <c r="I51" s="155"/>
      <c r="J51" s="155"/>
      <c r="K51" s="155"/>
    </row>
    <row r="52" spans="1:11">
      <c r="A52" s="151">
        <v>44919</v>
      </c>
      <c r="B52" s="152">
        <f t="shared" si="10"/>
        <v>12</v>
      </c>
      <c r="C52" s="153">
        <f t="shared" si="13"/>
        <v>0</v>
      </c>
      <c r="D52" s="153">
        <f t="shared" si="11"/>
        <v>0</v>
      </c>
      <c r="E52" s="153"/>
      <c r="F52" s="154">
        <f t="shared" si="12"/>
        <v>0</v>
      </c>
      <c r="G52" s="2"/>
      <c r="H52" s="153">
        <v>0</v>
      </c>
      <c r="I52" s="155"/>
      <c r="J52" s="155"/>
      <c r="K52" s="155"/>
    </row>
    <row r="53" spans="1:11">
      <c r="A53" s="151">
        <v>44920</v>
      </c>
      <c r="B53" s="152">
        <f t="shared" si="10"/>
        <v>12</v>
      </c>
      <c r="C53" s="153">
        <f t="shared" si="13"/>
        <v>0</v>
      </c>
      <c r="D53" s="153">
        <f t="shared" si="11"/>
        <v>0</v>
      </c>
      <c r="E53" s="153"/>
      <c r="F53" s="154">
        <f t="shared" si="12"/>
        <v>0</v>
      </c>
      <c r="G53" s="2"/>
      <c r="H53" s="153">
        <v>0</v>
      </c>
      <c r="I53" s="155"/>
      <c r="J53" s="155"/>
      <c r="K53" s="155"/>
    </row>
    <row r="54" spans="1:11">
      <c r="A54" s="151">
        <v>44921</v>
      </c>
      <c r="B54" s="152">
        <f t="shared" si="10"/>
        <v>12</v>
      </c>
      <c r="C54" s="153">
        <f t="shared" si="13"/>
        <v>0</v>
      </c>
      <c r="D54" s="153">
        <f t="shared" si="11"/>
        <v>0</v>
      </c>
      <c r="F54" s="154">
        <f t="shared" si="12"/>
        <v>0</v>
      </c>
      <c r="G54" s="5"/>
      <c r="H54" s="153">
        <v>0</v>
      </c>
      <c r="I54" s="155"/>
      <c r="J54" s="155"/>
      <c r="K54" s="155"/>
    </row>
    <row r="55" spans="1:11">
      <c r="A55" s="151">
        <v>44922</v>
      </c>
      <c r="B55" s="152">
        <f t="shared" si="10"/>
        <v>12</v>
      </c>
      <c r="C55" s="153">
        <f t="shared" si="13"/>
        <v>0</v>
      </c>
      <c r="D55" s="153">
        <f t="shared" si="11"/>
        <v>0</v>
      </c>
      <c r="F55" s="154">
        <f t="shared" si="12"/>
        <v>0</v>
      </c>
      <c r="G55" s="5"/>
      <c r="H55" s="153">
        <v>0</v>
      </c>
      <c r="I55" s="155"/>
      <c r="J55" s="155"/>
      <c r="K55" s="155"/>
    </row>
    <row r="56" spans="1:11">
      <c r="A56" s="151">
        <v>44923</v>
      </c>
      <c r="B56" s="152">
        <f t="shared" si="10"/>
        <v>12</v>
      </c>
      <c r="C56" s="153">
        <f t="shared" si="13"/>
        <v>0</v>
      </c>
      <c r="D56" s="153">
        <f t="shared" si="11"/>
        <v>0</v>
      </c>
      <c r="F56" s="154">
        <f t="shared" si="12"/>
        <v>0</v>
      </c>
      <c r="G56" s="5"/>
      <c r="H56" s="153">
        <v>0</v>
      </c>
      <c r="I56" s="155"/>
      <c r="J56" s="155"/>
      <c r="K56" s="155"/>
    </row>
    <row r="57" spans="1:11">
      <c r="A57" s="151">
        <v>44924</v>
      </c>
      <c r="B57" s="152">
        <f t="shared" si="10"/>
        <v>12</v>
      </c>
      <c r="C57" s="153">
        <f t="shared" si="13"/>
        <v>0</v>
      </c>
      <c r="D57" s="153">
        <f t="shared" si="11"/>
        <v>0</v>
      </c>
      <c r="F57" s="154">
        <f t="shared" si="12"/>
        <v>0</v>
      </c>
      <c r="G57" s="5"/>
      <c r="H57" s="153">
        <v>0</v>
      </c>
      <c r="I57" s="155"/>
      <c r="J57" s="155"/>
      <c r="K57" s="155"/>
    </row>
    <row r="58" spans="1:11">
      <c r="A58" s="151">
        <v>44925</v>
      </c>
      <c r="B58" s="152">
        <f t="shared" si="10"/>
        <v>12</v>
      </c>
      <c r="C58" s="153">
        <f t="shared" si="13"/>
        <v>0</v>
      </c>
      <c r="D58" s="153">
        <f t="shared" si="11"/>
        <v>0</v>
      </c>
      <c r="F58" s="154">
        <f t="shared" si="12"/>
        <v>0</v>
      </c>
      <c r="G58" s="5"/>
      <c r="H58" s="153">
        <v>0</v>
      </c>
      <c r="I58" s="155"/>
      <c r="J58" s="155"/>
      <c r="K58" s="155"/>
    </row>
    <row r="59" spans="1:11">
      <c r="A59" s="151">
        <v>44926</v>
      </c>
      <c r="B59" s="152">
        <f t="shared" si="10"/>
        <v>12</v>
      </c>
      <c r="C59" s="153">
        <f t="shared" si="13"/>
        <v>0</v>
      </c>
      <c r="D59" s="153">
        <f t="shared" si="11"/>
        <v>0</v>
      </c>
      <c r="E59" s="153"/>
      <c r="F59" s="154">
        <f t="shared" si="12"/>
        <v>0</v>
      </c>
      <c r="G59" s="2"/>
      <c r="H59" s="153">
        <v>0</v>
      </c>
      <c r="I59" s="155"/>
      <c r="J59" s="155"/>
      <c r="K59" s="155"/>
    </row>
    <row r="60" spans="1:11" s="163" customFormat="1">
      <c r="A60" s="157">
        <v>44927</v>
      </c>
      <c r="B60" s="158">
        <f t="shared" si="10"/>
        <v>1</v>
      </c>
      <c r="C60" s="159">
        <f t="shared" si="13"/>
        <v>524.2064200655999</v>
      </c>
      <c r="D60" s="159">
        <f t="shared" si="11"/>
        <v>524.2064200655999</v>
      </c>
      <c r="E60" s="160">
        <v>1454374</v>
      </c>
      <c r="F60" s="160">
        <f t="shared" si="12"/>
        <v>1454374</v>
      </c>
      <c r="G60" s="161">
        <v>0.50339999999999996</v>
      </c>
      <c r="H60" s="159">
        <v>0</v>
      </c>
      <c r="I60" s="162"/>
      <c r="J60" s="162"/>
      <c r="K60" s="162"/>
    </row>
    <row r="61" spans="1:11">
      <c r="A61" s="151">
        <v>44928</v>
      </c>
      <c r="B61" s="152">
        <f t="shared" si="10"/>
        <v>1</v>
      </c>
      <c r="C61" s="153">
        <f t="shared" si="13"/>
        <v>0</v>
      </c>
      <c r="D61" s="153">
        <f t="shared" si="11"/>
        <v>0</v>
      </c>
      <c r="E61" s="153"/>
      <c r="F61" s="154">
        <f t="shared" si="12"/>
        <v>0</v>
      </c>
      <c r="G61" s="2"/>
      <c r="H61" s="153">
        <v>0</v>
      </c>
      <c r="I61" s="155"/>
      <c r="J61" s="155"/>
      <c r="K61" s="155"/>
    </row>
    <row r="62" spans="1:11">
      <c r="A62" s="151">
        <v>44929</v>
      </c>
      <c r="B62" s="152">
        <f t="shared" si="10"/>
        <v>1</v>
      </c>
      <c r="C62" s="153">
        <f t="shared" si="13"/>
        <v>0</v>
      </c>
      <c r="D62" s="153">
        <f t="shared" si="11"/>
        <v>0</v>
      </c>
      <c r="E62" s="153"/>
      <c r="F62" s="154">
        <f t="shared" si="12"/>
        <v>0</v>
      </c>
      <c r="G62" s="2"/>
      <c r="H62" s="153">
        <v>0</v>
      </c>
      <c r="I62" s="155"/>
      <c r="J62" s="155"/>
      <c r="K62" s="155"/>
    </row>
    <row r="63" spans="1:11">
      <c r="A63" s="151">
        <v>44930</v>
      </c>
      <c r="B63" s="152">
        <f t="shared" si="10"/>
        <v>1</v>
      </c>
      <c r="C63" s="153">
        <f t="shared" ref="C63:C126" si="14">E63*G63*$J$3</f>
        <v>0</v>
      </c>
      <c r="D63" s="153">
        <f t="shared" si="11"/>
        <v>0</v>
      </c>
      <c r="E63" s="153"/>
      <c r="F63" s="154">
        <f t="shared" si="12"/>
        <v>0</v>
      </c>
      <c r="G63" s="2"/>
      <c r="H63" s="153">
        <v>0</v>
      </c>
      <c r="I63" s="155"/>
      <c r="J63" s="155"/>
      <c r="K63" s="155"/>
    </row>
    <row r="64" spans="1:11">
      <c r="A64" s="151">
        <v>44931</v>
      </c>
      <c r="B64" s="152">
        <f t="shared" ref="B64:B127" si="15">MONTH(A64)</f>
        <v>1</v>
      </c>
      <c r="C64" s="153">
        <f t="shared" si="14"/>
        <v>0</v>
      </c>
      <c r="D64" s="153">
        <f t="shared" ref="D64:D127" si="16">C64</f>
        <v>0</v>
      </c>
      <c r="E64" s="153"/>
      <c r="F64" s="154">
        <f t="shared" ref="F64:F127" si="17">E64</f>
        <v>0</v>
      </c>
      <c r="G64" s="2"/>
      <c r="H64" s="153">
        <v>0</v>
      </c>
      <c r="I64" s="155"/>
      <c r="J64" s="155"/>
      <c r="K64" s="155"/>
    </row>
    <row r="65" spans="1:11">
      <c r="A65" s="151">
        <v>44932</v>
      </c>
      <c r="B65" s="152">
        <f t="shared" si="15"/>
        <v>1</v>
      </c>
      <c r="C65" s="153">
        <f t="shared" si="14"/>
        <v>0</v>
      </c>
      <c r="D65" s="153">
        <f t="shared" si="16"/>
        <v>0</v>
      </c>
      <c r="E65" s="153"/>
      <c r="F65" s="154">
        <f t="shared" si="17"/>
        <v>0</v>
      </c>
      <c r="G65" s="2"/>
      <c r="H65" s="153">
        <v>0</v>
      </c>
      <c r="I65" s="155"/>
      <c r="J65" s="155"/>
      <c r="K65" s="155"/>
    </row>
    <row r="66" spans="1:11">
      <c r="A66" s="151">
        <v>44933</v>
      </c>
      <c r="B66" s="152">
        <f t="shared" si="15"/>
        <v>1</v>
      </c>
      <c r="C66" s="153">
        <f t="shared" si="14"/>
        <v>0</v>
      </c>
      <c r="D66" s="153">
        <f t="shared" si="16"/>
        <v>0</v>
      </c>
      <c r="E66" s="153"/>
      <c r="F66" s="154">
        <f t="shared" si="17"/>
        <v>0</v>
      </c>
      <c r="G66" s="2"/>
      <c r="H66" s="153">
        <v>0</v>
      </c>
      <c r="I66" s="155"/>
      <c r="J66" s="155"/>
      <c r="K66" s="155"/>
    </row>
    <row r="67" spans="1:11">
      <c r="A67" s="151">
        <v>44934</v>
      </c>
      <c r="B67" s="152">
        <f t="shared" si="15"/>
        <v>1</v>
      </c>
      <c r="C67" s="153">
        <f t="shared" si="14"/>
        <v>0</v>
      </c>
      <c r="D67" s="153">
        <f t="shared" si="16"/>
        <v>0</v>
      </c>
      <c r="E67" s="153"/>
      <c r="F67" s="154">
        <f t="shared" si="17"/>
        <v>0</v>
      </c>
      <c r="G67" s="2"/>
      <c r="H67" s="153">
        <v>0</v>
      </c>
      <c r="I67" s="155"/>
      <c r="J67" s="155"/>
      <c r="K67" s="155"/>
    </row>
    <row r="68" spans="1:11">
      <c r="A68" s="151">
        <v>44935</v>
      </c>
      <c r="B68" s="152">
        <f t="shared" si="15"/>
        <v>1</v>
      </c>
      <c r="C68" s="153">
        <f t="shared" si="14"/>
        <v>0</v>
      </c>
      <c r="D68" s="153">
        <f t="shared" si="16"/>
        <v>0</v>
      </c>
      <c r="E68" s="153"/>
      <c r="F68" s="154">
        <f t="shared" si="17"/>
        <v>0</v>
      </c>
      <c r="G68" s="2"/>
      <c r="H68" s="153">
        <v>0</v>
      </c>
      <c r="I68" s="155"/>
      <c r="J68" s="155"/>
      <c r="K68" s="155"/>
    </row>
    <row r="69" spans="1:11">
      <c r="A69" s="151">
        <v>44936</v>
      </c>
      <c r="B69" s="152">
        <f t="shared" si="15"/>
        <v>1</v>
      </c>
      <c r="C69" s="153">
        <f t="shared" si="14"/>
        <v>0</v>
      </c>
      <c r="D69" s="153">
        <f t="shared" si="16"/>
        <v>0</v>
      </c>
      <c r="E69" s="153"/>
      <c r="F69" s="154">
        <f t="shared" si="17"/>
        <v>0</v>
      </c>
      <c r="G69" s="2"/>
      <c r="H69" s="153">
        <v>0</v>
      </c>
      <c r="I69" s="155"/>
      <c r="J69" s="155"/>
      <c r="K69" s="155"/>
    </row>
    <row r="70" spans="1:11">
      <c r="A70" s="151">
        <v>44937</v>
      </c>
      <c r="B70" s="152">
        <f t="shared" si="15"/>
        <v>1</v>
      </c>
      <c r="C70" s="153">
        <f t="shared" si="14"/>
        <v>0</v>
      </c>
      <c r="D70" s="153">
        <f t="shared" si="16"/>
        <v>0</v>
      </c>
      <c r="E70" s="153"/>
      <c r="F70" s="154">
        <f t="shared" si="17"/>
        <v>0</v>
      </c>
      <c r="G70" s="2"/>
      <c r="H70" s="153">
        <v>0</v>
      </c>
      <c r="I70" s="155"/>
      <c r="J70" s="155"/>
      <c r="K70" s="155"/>
    </row>
    <row r="71" spans="1:11">
      <c r="A71" s="151">
        <v>44938</v>
      </c>
      <c r="B71" s="152">
        <f t="shared" si="15"/>
        <v>1</v>
      </c>
      <c r="C71" s="153">
        <f t="shared" si="14"/>
        <v>0</v>
      </c>
      <c r="D71" s="153">
        <f t="shared" si="16"/>
        <v>0</v>
      </c>
      <c r="E71" s="153"/>
      <c r="F71" s="154">
        <f t="shared" si="17"/>
        <v>0</v>
      </c>
      <c r="G71" s="2"/>
      <c r="H71" s="153">
        <v>0</v>
      </c>
      <c r="I71" s="155"/>
      <c r="J71" s="155"/>
      <c r="K71" s="155"/>
    </row>
    <row r="72" spans="1:11">
      <c r="A72" s="151">
        <v>44939</v>
      </c>
      <c r="B72" s="152">
        <f t="shared" si="15"/>
        <v>1</v>
      </c>
      <c r="C72" s="153">
        <f t="shared" si="14"/>
        <v>0</v>
      </c>
      <c r="D72" s="153">
        <f t="shared" si="16"/>
        <v>0</v>
      </c>
      <c r="E72" s="153"/>
      <c r="F72" s="154">
        <f t="shared" si="17"/>
        <v>0</v>
      </c>
      <c r="G72" s="2"/>
      <c r="H72" s="153">
        <v>0</v>
      </c>
      <c r="I72" s="155"/>
      <c r="J72" s="155"/>
      <c r="K72" s="155"/>
    </row>
    <row r="73" spans="1:11">
      <c r="A73" s="151">
        <v>44940</v>
      </c>
      <c r="B73" s="152">
        <f t="shared" si="15"/>
        <v>1</v>
      </c>
      <c r="C73" s="153">
        <f t="shared" si="14"/>
        <v>0</v>
      </c>
      <c r="D73" s="153">
        <f t="shared" si="16"/>
        <v>0</v>
      </c>
      <c r="E73" s="153"/>
      <c r="F73" s="154">
        <f t="shared" si="17"/>
        <v>0</v>
      </c>
      <c r="G73" s="2"/>
      <c r="H73" s="153">
        <v>0</v>
      </c>
      <c r="I73" s="155"/>
      <c r="J73" s="155"/>
      <c r="K73" s="155"/>
    </row>
    <row r="74" spans="1:11">
      <c r="A74" s="151">
        <v>44941</v>
      </c>
      <c r="B74" s="152">
        <f t="shared" si="15"/>
        <v>1</v>
      </c>
      <c r="C74" s="153">
        <f t="shared" si="14"/>
        <v>0</v>
      </c>
      <c r="D74" s="153">
        <f t="shared" si="16"/>
        <v>0</v>
      </c>
      <c r="E74" s="153"/>
      <c r="F74" s="154">
        <f t="shared" si="17"/>
        <v>0</v>
      </c>
      <c r="G74" s="2"/>
      <c r="H74" s="153">
        <v>0</v>
      </c>
      <c r="I74" s="155"/>
      <c r="J74" s="155"/>
      <c r="K74" s="155"/>
    </row>
    <row r="75" spans="1:11">
      <c r="A75" s="151">
        <v>44942</v>
      </c>
      <c r="B75" s="152">
        <f t="shared" si="15"/>
        <v>1</v>
      </c>
      <c r="C75" s="153">
        <f t="shared" si="14"/>
        <v>0</v>
      </c>
      <c r="D75" s="153">
        <f t="shared" si="16"/>
        <v>0</v>
      </c>
      <c r="E75" s="153"/>
      <c r="F75" s="154">
        <f t="shared" si="17"/>
        <v>0</v>
      </c>
      <c r="G75" s="2"/>
      <c r="H75" s="153">
        <v>0</v>
      </c>
      <c r="I75" s="155"/>
      <c r="J75" s="155"/>
      <c r="K75" s="155"/>
    </row>
    <row r="76" spans="1:11">
      <c r="A76" s="151">
        <v>44943</v>
      </c>
      <c r="B76" s="152">
        <f t="shared" si="15"/>
        <v>1</v>
      </c>
      <c r="C76" s="153">
        <f t="shared" si="14"/>
        <v>0</v>
      </c>
      <c r="D76" s="153">
        <f t="shared" si="16"/>
        <v>0</v>
      </c>
      <c r="E76" s="153"/>
      <c r="F76" s="154">
        <f t="shared" si="17"/>
        <v>0</v>
      </c>
      <c r="G76" s="2"/>
      <c r="H76" s="153">
        <v>0</v>
      </c>
      <c r="I76" s="155"/>
      <c r="J76" s="155"/>
      <c r="K76" s="155"/>
    </row>
    <row r="77" spans="1:11">
      <c r="A77" s="151">
        <v>44944</v>
      </c>
      <c r="B77" s="152">
        <f t="shared" si="15"/>
        <v>1</v>
      </c>
      <c r="C77" s="153">
        <f t="shared" si="14"/>
        <v>0</v>
      </c>
      <c r="D77" s="153">
        <f t="shared" si="16"/>
        <v>0</v>
      </c>
      <c r="E77" s="153"/>
      <c r="F77" s="154">
        <f t="shared" si="17"/>
        <v>0</v>
      </c>
      <c r="G77" s="2"/>
      <c r="H77" s="153">
        <v>0</v>
      </c>
      <c r="I77" s="155"/>
      <c r="J77" s="155"/>
      <c r="K77" s="155"/>
    </row>
    <row r="78" spans="1:11">
      <c r="A78" s="151">
        <v>44945</v>
      </c>
      <c r="B78" s="152">
        <f t="shared" si="15"/>
        <v>1</v>
      </c>
      <c r="C78" s="153">
        <f t="shared" si="14"/>
        <v>0</v>
      </c>
      <c r="D78" s="153">
        <f t="shared" si="16"/>
        <v>0</v>
      </c>
      <c r="E78" s="153"/>
      <c r="F78" s="154">
        <f t="shared" si="17"/>
        <v>0</v>
      </c>
      <c r="G78" s="2"/>
      <c r="H78" s="153">
        <v>0</v>
      </c>
      <c r="I78" s="155"/>
      <c r="J78" s="155"/>
      <c r="K78" s="155"/>
    </row>
    <row r="79" spans="1:11">
      <c r="A79" s="151">
        <v>44946</v>
      </c>
      <c r="B79" s="152">
        <f t="shared" si="15"/>
        <v>1</v>
      </c>
      <c r="C79" s="153">
        <f t="shared" si="14"/>
        <v>0</v>
      </c>
      <c r="D79" s="153">
        <f t="shared" si="16"/>
        <v>0</v>
      </c>
      <c r="E79" s="153"/>
      <c r="F79" s="154">
        <f t="shared" si="17"/>
        <v>0</v>
      </c>
      <c r="G79" s="2"/>
      <c r="H79" s="153">
        <v>0</v>
      </c>
      <c r="I79" s="155"/>
      <c r="J79" s="155"/>
      <c r="K79" s="155"/>
    </row>
    <row r="80" spans="1:11">
      <c r="A80" s="151">
        <v>44947</v>
      </c>
      <c r="B80" s="152">
        <f t="shared" si="15"/>
        <v>1</v>
      </c>
      <c r="C80" s="153">
        <f t="shared" si="14"/>
        <v>0</v>
      </c>
      <c r="D80" s="153">
        <f t="shared" si="16"/>
        <v>0</v>
      </c>
      <c r="E80" s="153"/>
      <c r="F80" s="154">
        <f t="shared" si="17"/>
        <v>0</v>
      </c>
      <c r="G80" s="2"/>
      <c r="H80" s="153">
        <v>0</v>
      </c>
      <c r="I80" s="155"/>
      <c r="J80" s="155"/>
      <c r="K80" s="155"/>
    </row>
    <row r="81" spans="1:11">
      <c r="A81" s="151">
        <v>44948</v>
      </c>
      <c r="B81" s="152">
        <f t="shared" si="15"/>
        <v>1</v>
      </c>
      <c r="C81" s="153">
        <f t="shared" si="14"/>
        <v>0</v>
      </c>
      <c r="D81" s="153">
        <f t="shared" si="16"/>
        <v>0</v>
      </c>
      <c r="E81" s="153"/>
      <c r="F81" s="154">
        <f t="shared" si="17"/>
        <v>0</v>
      </c>
      <c r="G81" s="2"/>
      <c r="H81" s="153">
        <v>0</v>
      </c>
      <c r="I81" s="155"/>
      <c r="J81" s="155"/>
      <c r="K81" s="155"/>
    </row>
    <row r="82" spans="1:11">
      <c r="A82" s="151">
        <v>44949</v>
      </c>
      <c r="B82" s="152">
        <f t="shared" si="15"/>
        <v>1</v>
      </c>
      <c r="C82" s="153">
        <f t="shared" si="14"/>
        <v>0</v>
      </c>
      <c r="D82" s="153">
        <f t="shared" si="16"/>
        <v>0</v>
      </c>
      <c r="E82" s="153"/>
      <c r="F82" s="154">
        <f t="shared" si="17"/>
        <v>0</v>
      </c>
      <c r="G82" s="2"/>
      <c r="H82" s="153">
        <v>0</v>
      </c>
      <c r="I82" s="155"/>
      <c r="J82" s="155"/>
      <c r="K82" s="155"/>
    </row>
    <row r="83" spans="1:11">
      <c r="A83" s="151">
        <v>44950</v>
      </c>
      <c r="B83" s="152">
        <f t="shared" si="15"/>
        <v>1</v>
      </c>
      <c r="C83" s="153">
        <f t="shared" si="14"/>
        <v>0</v>
      </c>
      <c r="D83" s="153">
        <f t="shared" si="16"/>
        <v>0</v>
      </c>
      <c r="E83" s="153"/>
      <c r="F83" s="154">
        <f t="shared" si="17"/>
        <v>0</v>
      </c>
      <c r="G83" s="2"/>
      <c r="H83" s="153">
        <v>0</v>
      </c>
      <c r="I83" s="155"/>
      <c r="J83" s="155"/>
      <c r="K83" s="155"/>
    </row>
    <row r="84" spans="1:11">
      <c r="A84" s="151">
        <v>44951</v>
      </c>
      <c r="B84" s="152">
        <f t="shared" si="15"/>
        <v>1</v>
      </c>
      <c r="C84" s="153">
        <f t="shared" si="14"/>
        <v>0</v>
      </c>
      <c r="D84" s="153">
        <f t="shared" si="16"/>
        <v>0</v>
      </c>
      <c r="E84" s="153"/>
      <c r="F84" s="154">
        <f t="shared" si="17"/>
        <v>0</v>
      </c>
      <c r="G84" s="2"/>
      <c r="H84" s="153">
        <v>0</v>
      </c>
      <c r="I84" s="155"/>
      <c r="J84" s="155"/>
      <c r="K84" s="155"/>
    </row>
    <row r="85" spans="1:11">
      <c r="A85" s="151">
        <v>44952</v>
      </c>
      <c r="B85" s="152">
        <f t="shared" si="15"/>
        <v>1</v>
      </c>
      <c r="C85" s="153">
        <f t="shared" si="14"/>
        <v>0</v>
      </c>
      <c r="D85" s="153">
        <f t="shared" si="16"/>
        <v>0</v>
      </c>
      <c r="F85" s="154">
        <f t="shared" si="17"/>
        <v>0</v>
      </c>
      <c r="G85" s="5"/>
      <c r="H85" s="153">
        <v>0</v>
      </c>
      <c r="I85" s="155"/>
      <c r="J85" s="155"/>
      <c r="K85" s="155"/>
    </row>
    <row r="86" spans="1:11">
      <c r="A86" s="151">
        <v>44953</v>
      </c>
      <c r="B86" s="152">
        <f t="shared" si="15"/>
        <v>1</v>
      </c>
      <c r="C86" s="153">
        <f t="shared" si="14"/>
        <v>0</v>
      </c>
      <c r="D86" s="153">
        <f t="shared" si="16"/>
        <v>0</v>
      </c>
      <c r="F86" s="154">
        <f t="shared" si="17"/>
        <v>0</v>
      </c>
      <c r="G86" s="5"/>
      <c r="H86" s="153">
        <v>0</v>
      </c>
      <c r="I86" s="155"/>
      <c r="J86" s="155"/>
      <c r="K86" s="155"/>
    </row>
    <row r="87" spans="1:11">
      <c r="A87" s="151">
        <v>44954</v>
      </c>
      <c r="B87" s="152">
        <f t="shared" si="15"/>
        <v>1</v>
      </c>
      <c r="C87" s="153">
        <f t="shared" si="14"/>
        <v>0</v>
      </c>
      <c r="D87" s="153">
        <f t="shared" si="16"/>
        <v>0</v>
      </c>
      <c r="F87" s="154">
        <f t="shared" si="17"/>
        <v>0</v>
      </c>
      <c r="G87" s="5"/>
      <c r="H87" s="153">
        <v>0</v>
      </c>
      <c r="I87" s="155"/>
      <c r="J87" s="155"/>
      <c r="K87" s="155"/>
    </row>
    <row r="88" spans="1:11">
      <c r="A88" s="151">
        <v>44955</v>
      </c>
      <c r="B88" s="152">
        <f t="shared" si="15"/>
        <v>1</v>
      </c>
      <c r="C88" s="153">
        <f t="shared" si="14"/>
        <v>0</v>
      </c>
      <c r="D88" s="153">
        <f t="shared" si="16"/>
        <v>0</v>
      </c>
      <c r="F88" s="154">
        <f t="shared" si="17"/>
        <v>0</v>
      </c>
      <c r="G88" s="5"/>
      <c r="H88" s="153">
        <v>0</v>
      </c>
      <c r="I88" s="155"/>
      <c r="J88" s="155"/>
      <c r="K88" s="155"/>
    </row>
    <row r="89" spans="1:11">
      <c r="A89" s="151">
        <v>44956</v>
      </c>
      <c r="B89" s="152">
        <f t="shared" si="15"/>
        <v>1</v>
      </c>
      <c r="C89" s="153">
        <f t="shared" si="14"/>
        <v>0</v>
      </c>
      <c r="D89" s="153">
        <f t="shared" si="16"/>
        <v>0</v>
      </c>
      <c r="E89" s="153"/>
      <c r="F89" s="154">
        <f t="shared" si="17"/>
        <v>0</v>
      </c>
      <c r="G89" s="2"/>
      <c r="H89" s="153">
        <v>0</v>
      </c>
      <c r="I89" s="155"/>
      <c r="J89" s="155"/>
      <c r="K89" s="155"/>
    </row>
    <row r="90" spans="1:11">
      <c r="A90" s="151">
        <v>44957</v>
      </c>
      <c r="B90" s="152">
        <f t="shared" si="15"/>
        <v>1</v>
      </c>
      <c r="C90" s="153">
        <f t="shared" si="14"/>
        <v>0</v>
      </c>
      <c r="D90" s="153">
        <f t="shared" si="16"/>
        <v>0</v>
      </c>
      <c r="E90" s="153"/>
      <c r="F90" s="154">
        <f t="shared" si="17"/>
        <v>0</v>
      </c>
      <c r="G90" s="2"/>
      <c r="H90" s="153">
        <v>0</v>
      </c>
      <c r="I90" s="155"/>
      <c r="J90" s="155"/>
      <c r="K90" s="155"/>
    </row>
    <row r="91" spans="1:11" s="163" customFormat="1">
      <c r="A91" s="157">
        <v>44958</v>
      </c>
      <c r="B91" s="158">
        <f t="shared" si="15"/>
        <v>2</v>
      </c>
      <c r="C91" s="159">
        <f t="shared" si="14"/>
        <v>480.3366518496</v>
      </c>
      <c r="D91" s="159">
        <f t="shared" si="16"/>
        <v>480.3366518496</v>
      </c>
      <c r="E91" s="160">
        <v>1376973</v>
      </c>
      <c r="F91" s="160">
        <f t="shared" si="17"/>
        <v>1376973</v>
      </c>
      <c r="G91" s="161">
        <v>0.48720000000000002</v>
      </c>
      <c r="H91" s="159">
        <v>0</v>
      </c>
      <c r="I91" s="162"/>
      <c r="J91" s="162"/>
      <c r="K91" s="162"/>
    </row>
    <row r="92" spans="1:11">
      <c r="A92" s="151">
        <v>44959</v>
      </c>
      <c r="B92" s="152">
        <f t="shared" si="15"/>
        <v>2</v>
      </c>
      <c r="C92" s="153">
        <f t="shared" si="14"/>
        <v>0</v>
      </c>
      <c r="D92" s="153">
        <f t="shared" si="16"/>
        <v>0</v>
      </c>
      <c r="E92" s="153"/>
      <c r="F92" s="154">
        <f t="shared" si="17"/>
        <v>0</v>
      </c>
      <c r="G92" s="2"/>
      <c r="H92" s="153">
        <v>0</v>
      </c>
      <c r="I92" s="155"/>
      <c r="J92" s="155"/>
      <c r="K92" s="155"/>
    </row>
    <row r="93" spans="1:11">
      <c r="A93" s="151">
        <v>44960</v>
      </c>
      <c r="B93" s="152">
        <f t="shared" si="15"/>
        <v>2</v>
      </c>
      <c r="C93" s="153">
        <f t="shared" si="14"/>
        <v>0</v>
      </c>
      <c r="D93" s="153">
        <f t="shared" si="16"/>
        <v>0</v>
      </c>
      <c r="E93" s="153"/>
      <c r="F93" s="154">
        <f t="shared" si="17"/>
        <v>0</v>
      </c>
      <c r="G93" s="2"/>
      <c r="H93" s="153">
        <v>0</v>
      </c>
      <c r="I93" s="155"/>
      <c r="J93" s="155"/>
      <c r="K93" s="155"/>
    </row>
    <row r="94" spans="1:11">
      <c r="A94" s="151">
        <v>44961</v>
      </c>
      <c r="B94" s="152">
        <f t="shared" si="15"/>
        <v>2</v>
      </c>
      <c r="C94" s="153">
        <f t="shared" si="14"/>
        <v>0</v>
      </c>
      <c r="D94" s="153">
        <f t="shared" si="16"/>
        <v>0</v>
      </c>
      <c r="E94" s="153"/>
      <c r="F94" s="154">
        <f t="shared" si="17"/>
        <v>0</v>
      </c>
      <c r="G94" s="2"/>
      <c r="H94" s="153">
        <v>0</v>
      </c>
      <c r="I94" s="155"/>
      <c r="J94" s="155"/>
      <c r="K94" s="155"/>
    </row>
    <row r="95" spans="1:11">
      <c r="A95" s="151">
        <v>44962</v>
      </c>
      <c r="B95" s="152">
        <f t="shared" si="15"/>
        <v>2</v>
      </c>
      <c r="C95" s="153">
        <f t="shared" si="14"/>
        <v>0</v>
      </c>
      <c r="D95" s="153">
        <f t="shared" si="16"/>
        <v>0</v>
      </c>
      <c r="E95" s="153"/>
      <c r="F95" s="154">
        <f t="shared" si="17"/>
        <v>0</v>
      </c>
      <c r="G95" s="2"/>
      <c r="H95" s="153">
        <v>0</v>
      </c>
      <c r="I95" s="155"/>
      <c r="J95" s="155"/>
      <c r="K95" s="155"/>
    </row>
    <row r="96" spans="1:11">
      <c r="A96" s="151">
        <v>44963</v>
      </c>
      <c r="B96" s="152">
        <f t="shared" si="15"/>
        <v>2</v>
      </c>
      <c r="C96" s="153">
        <f t="shared" si="14"/>
        <v>0</v>
      </c>
      <c r="D96" s="153">
        <f t="shared" si="16"/>
        <v>0</v>
      </c>
      <c r="E96" s="153"/>
      <c r="F96" s="154">
        <f t="shared" si="17"/>
        <v>0</v>
      </c>
      <c r="G96" s="2"/>
      <c r="H96" s="153">
        <v>0</v>
      </c>
      <c r="I96" s="155"/>
      <c r="J96" s="155"/>
      <c r="K96" s="155"/>
    </row>
    <row r="97" spans="1:11">
      <c r="A97" s="151">
        <v>44964</v>
      </c>
      <c r="B97" s="152">
        <f t="shared" si="15"/>
        <v>2</v>
      </c>
      <c r="C97" s="153">
        <f t="shared" si="14"/>
        <v>0</v>
      </c>
      <c r="D97" s="153">
        <f t="shared" si="16"/>
        <v>0</v>
      </c>
      <c r="E97" s="153"/>
      <c r="F97" s="154">
        <f t="shared" si="17"/>
        <v>0</v>
      </c>
      <c r="G97" s="2"/>
      <c r="H97" s="153">
        <v>0</v>
      </c>
      <c r="I97" s="155"/>
      <c r="J97" s="155"/>
      <c r="K97" s="155"/>
    </row>
    <row r="98" spans="1:11">
      <c r="A98" s="151">
        <v>44965</v>
      </c>
      <c r="B98" s="152">
        <f t="shared" si="15"/>
        <v>2</v>
      </c>
      <c r="C98" s="153">
        <f t="shared" si="14"/>
        <v>0</v>
      </c>
      <c r="D98" s="153">
        <f t="shared" si="16"/>
        <v>0</v>
      </c>
      <c r="E98" s="153"/>
      <c r="F98" s="154">
        <f t="shared" si="17"/>
        <v>0</v>
      </c>
      <c r="G98" s="2"/>
      <c r="H98" s="153">
        <v>0</v>
      </c>
      <c r="I98" s="155"/>
      <c r="J98" s="155"/>
      <c r="K98" s="155"/>
    </row>
    <row r="99" spans="1:11">
      <c r="A99" s="151">
        <v>44966</v>
      </c>
      <c r="B99" s="152">
        <f t="shared" si="15"/>
        <v>2</v>
      </c>
      <c r="C99" s="153">
        <f t="shared" si="14"/>
        <v>0</v>
      </c>
      <c r="D99" s="153">
        <f t="shared" si="16"/>
        <v>0</v>
      </c>
      <c r="E99" s="153"/>
      <c r="F99" s="154">
        <f t="shared" si="17"/>
        <v>0</v>
      </c>
      <c r="G99" s="2"/>
      <c r="H99" s="153">
        <v>0</v>
      </c>
      <c r="I99" s="155"/>
      <c r="J99" s="155"/>
      <c r="K99" s="155"/>
    </row>
    <row r="100" spans="1:11">
      <c r="A100" s="151">
        <v>44967</v>
      </c>
      <c r="B100" s="152">
        <f t="shared" si="15"/>
        <v>2</v>
      </c>
      <c r="C100" s="153">
        <f t="shared" si="14"/>
        <v>0</v>
      </c>
      <c r="D100" s="153">
        <f t="shared" si="16"/>
        <v>0</v>
      </c>
      <c r="E100" s="153"/>
      <c r="F100" s="154">
        <f t="shared" si="17"/>
        <v>0</v>
      </c>
      <c r="G100" s="2"/>
      <c r="H100" s="153">
        <v>0</v>
      </c>
      <c r="I100" s="155"/>
      <c r="J100" s="155"/>
      <c r="K100" s="155"/>
    </row>
    <row r="101" spans="1:11">
      <c r="A101" s="151">
        <v>44968</v>
      </c>
      <c r="B101" s="152">
        <f t="shared" si="15"/>
        <v>2</v>
      </c>
      <c r="C101" s="153">
        <f t="shared" si="14"/>
        <v>0</v>
      </c>
      <c r="D101" s="153">
        <f t="shared" si="16"/>
        <v>0</v>
      </c>
      <c r="E101" s="153"/>
      <c r="F101" s="154">
        <f t="shared" si="17"/>
        <v>0</v>
      </c>
      <c r="G101" s="2"/>
      <c r="H101" s="153">
        <v>0</v>
      </c>
      <c r="I101" s="155"/>
      <c r="J101" s="155"/>
      <c r="K101" s="155"/>
    </row>
    <row r="102" spans="1:11">
      <c r="A102" s="151">
        <v>44969</v>
      </c>
      <c r="B102" s="152">
        <f t="shared" si="15"/>
        <v>2</v>
      </c>
      <c r="C102" s="153">
        <f t="shared" si="14"/>
        <v>0</v>
      </c>
      <c r="D102" s="153">
        <f t="shared" si="16"/>
        <v>0</v>
      </c>
      <c r="E102" s="153"/>
      <c r="F102" s="154">
        <f t="shared" si="17"/>
        <v>0</v>
      </c>
      <c r="G102" s="2"/>
      <c r="H102" s="153">
        <v>0</v>
      </c>
      <c r="I102" s="155"/>
      <c r="J102" s="155"/>
      <c r="K102" s="155"/>
    </row>
    <row r="103" spans="1:11">
      <c r="A103" s="151">
        <v>44970</v>
      </c>
      <c r="B103" s="152">
        <f t="shared" si="15"/>
        <v>2</v>
      </c>
      <c r="C103" s="153">
        <f t="shared" si="14"/>
        <v>0</v>
      </c>
      <c r="D103" s="153">
        <f t="shared" si="16"/>
        <v>0</v>
      </c>
      <c r="E103" s="153"/>
      <c r="F103" s="154">
        <f t="shared" si="17"/>
        <v>0</v>
      </c>
      <c r="G103" s="2"/>
      <c r="H103" s="153">
        <v>0</v>
      </c>
      <c r="I103" s="155"/>
      <c r="J103" s="155"/>
      <c r="K103" s="155"/>
    </row>
    <row r="104" spans="1:11">
      <c r="A104" s="151">
        <v>44971</v>
      </c>
      <c r="B104" s="152">
        <f t="shared" si="15"/>
        <v>2</v>
      </c>
      <c r="C104" s="153">
        <f t="shared" si="14"/>
        <v>0</v>
      </c>
      <c r="D104" s="153">
        <f t="shared" si="16"/>
        <v>0</v>
      </c>
      <c r="E104" s="153"/>
      <c r="F104" s="154">
        <f t="shared" si="17"/>
        <v>0</v>
      </c>
      <c r="G104" s="2"/>
      <c r="H104" s="153">
        <v>0</v>
      </c>
      <c r="I104" s="155"/>
      <c r="J104" s="155"/>
      <c r="K104" s="155"/>
    </row>
    <row r="105" spans="1:11">
      <c r="A105" s="151">
        <v>44972</v>
      </c>
      <c r="B105" s="152">
        <f t="shared" si="15"/>
        <v>2</v>
      </c>
      <c r="C105" s="153">
        <f t="shared" si="14"/>
        <v>0</v>
      </c>
      <c r="D105" s="153">
        <f t="shared" si="16"/>
        <v>0</v>
      </c>
      <c r="E105" s="153"/>
      <c r="F105" s="154">
        <f t="shared" si="17"/>
        <v>0</v>
      </c>
      <c r="G105" s="2"/>
      <c r="H105" s="153">
        <v>0</v>
      </c>
      <c r="I105" s="155"/>
      <c r="J105" s="155"/>
      <c r="K105" s="155"/>
    </row>
    <row r="106" spans="1:11">
      <c r="A106" s="151">
        <v>44973</v>
      </c>
      <c r="B106" s="152">
        <f t="shared" si="15"/>
        <v>2</v>
      </c>
      <c r="C106" s="153">
        <f t="shared" si="14"/>
        <v>0</v>
      </c>
      <c r="D106" s="153">
        <f t="shared" si="16"/>
        <v>0</v>
      </c>
      <c r="E106" s="153"/>
      <c r="F106" s="154">
        <f t="shared" si="17"/>
        <v>0</v>
      </c>
      <c r="G106" s="2"/>
      <c r="H106" s="153">
        <v>0</v>
      </c>
      <c r="I106" s="155"/>
      <c r="J106" s="155"/>
      <c r="K106" s="155"/>
    </row>
    <row r="107" spans="1:11">
      <c r="A107" s="151">
        <v>44974</v>
      </c>
      <c r="B107" s="152">
        <f t="shared" si="15"/>
        <v>2</v>
      </c>
      <c r="C107" s="153">
        <f t="shared" si="14"/>
        <v>0</v>
      </c>
      <c r="D107" s="153">
        <f t="shared" si="16"/>
        <v>0</v>
      </c>
      <c r="E107" s="153"/>
      <c r="F107" s="154">
        <f t="shared" si="17"/>
        <v>0</v>
      </c>
      <c r="G107" s="2"/>
      <c r="H107" s="153">
        <v>0</v>
      </c>
      <c r="I107" s="155"/>
      <c r="J107" s="155"/>
      <c r="K107" s="155"/>
    </row>
    <row r="108" spans="1:11">
      <c r="A108" s="151">
        <v>44975</v>
      </c>
      <c r="B108" s="152">
        <f t="shared" si="15"/>
        <v>2</v>
      </c>
      <c r="C108" s="153">
        <f t="shared" si="14"/>
        <v>0</v>
      </c>
      <c r="D108" s="153">
        <f t="shared" si="16"/>
        <v>0</v>
      </c>
      <c r="E108" s="153"/>
      <c r="F108" s="154">
        <f t="shared" si="17"/>
        <v>0</v>
      </c>
      <c r="G108" s="2"/>
      <c r="H108" s="153">
        <v>0</v>
      </c>
      <c r="I108" s="155"/>
      <c r="J108" s="155"/>
      <c r="K108" s="155"/>
    </row>
    <row r="109" spans="1:11">
      <c r="A109" s="151">
        <v>44976</v>
      </c>
      <c r="B109" s="152">
        <f t="shared" si="15"/>
        <v>2</v>
      </c>
      <c r="C109" s="153">
        <f t="shared" si="14"/>
        <v>0</v>
      </c>
      <c r="D109" s="153">
        <f t="shared" si="16"/>
        <v>0</v>
      </c>
      <c r="E109" s="153"/>
      <c r="F109" s="154">
        <f t="shared" si="17"/>
        <v>0</v>
      </c>
      <c r="G109" s="2"/>
      <c r="H109" s="153">
        <v>0</v>
      </c>
      <c r="I109" s="155"/>
      <c r="J109" s="155"/>
      <c r="K109" s="155"/>
    </row>
    <row r="110" spans="1:11">
      <c r="A110" s="151">
        <v>44977</v>
      </c>
      <c r="B110" s="152">
        <f t="shared" si="15"/>
        <v>2</v>
      </c>
      <c r="C110" s="153">
        <f t="shared" si="14"/>
        <v>0</v>
      </c>
      <c r="D110" s="153">
        <f t="shared" si="16"/>
        <v>0</v>
      </c>
      <c r="E110" s="153"/>
      <c r="F110" s="154">
        <f t="shared" si="17"/>
        <v>0</v>
      </c>
      <c r="G110" s="2"/>
      <c r="H110" s="153">
        <v>0</v>
      </c>
      <c r="I110" s="155"/>
      <c r="J110" s="155"/>
      <c r="K110" s="155"/>
    </row>
    <row r="111" spans="1:11">
      <c r="A111" s="151">
        <v>44978</v>
      </c>
      <c r="B111" s="152">
        <f t="shared" si="15"/>
        <v>2</v>
      </c>
      <c r="C111" s="153">
        <f t="shared" si="14"/>
        <v>0</v>
      </c>
      <c r="D111" s="153">
        <f t="shared" si="16"/>
        <v>0</v>
      </c>
      <c r="E111" s="153"/>
      <c r="F111" s="154">
        <f t="shared" si="17"/>
        <v>0</v>
      </c>
      <c r="G111" s="2"/>
      <c r="H111" s="153">
        <v>0</v>
      </c>
      <c r="I111" s="155"/>
      <c r="J111" s="155"/>
      <c r="K111" s="155"/>
    </row>
    <row r="112" spans="1:11">
      <c r="A112" s="151">
        <v>44979</v>
      </c>
      <c r="B112" s="152">
        <f t="shared" si="15"/>
        <v>2</v>
      </c>
      <c r="C112" s="153">
        <f t="shared" si="14"/>
        <v>0</v>
      </c>
      <c r="D112" s="153">
        <f t="shared" si="16"/>
        <v>0</v>
      </c>
      <c r="E112" s="153"/>
      <c r="F112" s="154">
        <f t="shared" si="17"/>
        <v>0</v>
      </c>
      <c r="G112" s="2"/>
      <c r="H112" s="153">
        <v>0</v>
      </c>
      <c r="I112" s="155"/>
      <c r="J112" s="155"/>
      <c r="K112" s="155"/>
    </row>
    <row r="113" spans="1:11">
      <c r="A113" s="151">
        <v>44980</v>
      </c>
      <c r="B113" s="152">
        <f t="shared" si="15"/>
        <v>2</v>
      </c>
      <c r="C113" s="153">
        <f t="shared" si="14"/>
        <v>0</v>
      </c>
      <c r="D113" s="153">
        <f t="shared" si="16"/>
        <v>0</v>
      </c>
      <c r="F113" s="154">
        <f t="shared" si="17"/>
        <v>0</v>
      </c>
      <c r="G113" s="5"/>
      <c r="H113" s="153">
        <v>0</v>
      </c>
      <c r="I113" s="155"/>
      <c r="J113" s="155"/>
      <c r="K113" s="155"/>
    </row>
    <row r="114" spans="1:11">
      <c r="A114" s="151">
        <v>44981</v>
      </c>
      <c r="B114" s="152">
        <f t="shared" si="15"/>
        <v>2</v>
      </c>
      <c r="C114" s="153">
        <f t="shared" si="14"/>
        <v>0</v>
      </c>
      <c r="D114" s="153">
        <f t="shared" si="16"/>
        <v>0</v>
      </c>
      <c r="F114" s="154">
        <f t="shared" si="17"/>
        <v>0</v>
      </c>
      <c r="G114" s="5"/>
      <c r="H114" s="153">
        <v>0</v>
      </c>
      <c r="I114" s="155"/>
      <c r="J114" s="155"/>
      <c r="K114" s="155"/>
    </row>
    <row r="115" spans="1:11">
      <c r="A115" s="151">
        <v>44982</v>
      </c>
      <c r="B115" s="152">
        <f t="shared" si="15"/>
        <v>2</v>
      </c>
      <c r="C115" s="153">
        <f t="shared" si="14"/>
        <v>0</v>
      </c>
      <c r="D115" s="153">
        <f t="shared" si="16"/>
        <v>0</v>
      </c>
      <c r="F115" s="154">
        <f t="shared" si="17"/>
        <v>0</v>
      </c>
      <c r="G115" s="5"/>
      <c r="H115" s="153">
        <v>0</v>
      </c>
      <c r="I115" s="155"/>
      <c r="J115" s="155"/>
      <c r="K115" s="155"/>
    </row>
    <row r="116" spans="1:11">
      <c r="A116" s="151">
        <v>44983</v>
      </c>
      <c r="B116" s="152">
        <f t="shared" si="15"/>
        <v>2</v>
      </c>
      <c r="C116" s="153">
        <f t="shared" si="14"/>
        <v>0</v>
      </c>
      <c r="D116" s="153">
        <f t="shared" si="16"/>
        <v>0</v>
      </c>
      <c r="E116" s="153"/>
      <c r="F116" s="154">
        <f t="shared" si="17"/>
        <v>0</v>
      </c>
      <c r="G116" s="2"/>
      <c r="H116" s="153">
        <v>0</v>
      </c>
      <c r="I116" s="155"/>
      <c r="J116" s="155"/>
      <c r="K116" s="155"/>
    </row>
    <row r="117" spans="1:11">
      <c r="A117" s="151">
        <v>44984</v>
      </c>
      <c r="B117" s="152">
        <f t="shared" si="15"/>
        <v>2</v>
      </c>
      <c r="C117" s="153">
        <f t="shared" si="14"/>
        <v>0</v>
      </c>
      <c r="D117" s="153">
        <f t="shared" si="16"/>
        <v>0</v>
      </c>
      <c r="E117" s="153"/>
      <c r="F117" s="154">
        <f t="shared" si="17"/>
        <v>0</v>
      </c>
      <c r="G117" s="2"/>
      <c r="H117" s="153">
        <v>0</v>
      </c>
      <c r="I117" s="155"/>
      <c r="J117" s="155"/>
      <c r="K117" s="155"/>
    </row>
    <row r="118" spans="1:11">
      <c r="A118" s="151">
        <v>44985</v>
      </c>
      <c r="B118" s="152">
        <f t="shared" si="15"/>
        <v>2</v>
      </c>
      <c r="C118" s="153">
        <f t="shared" si="14"/>
        <v>0</v>
      </c>
      <c r="D118" s="153">
        <f t="shared" si="16"/>
        <v>0</v>
      </c>
      <c r="E118" s="153"/>
      <c r="F118" s="154">
        <f t="shared" si="17"/>
        <v>0</v>
      </c>
      <c r="G118" s="2"/>
      <c r="H118" s="153">
        <v>0</v>
      </c>
      <c r="I118" s="155"/>
      <c r="J118" s="155"/>
      <c r="K118" s="155"/>
    </row>
    <row r="119" spans="1:11" s="163" customFormat="1">
      <c r="A119" s="157">
        <v>44986</v>
      </c>
      <c r="B119" s="158">
        <f t="shared" si="15"/>
        <v>3</v>
      </c>
      <c r="C119" s="159">
        <f t="shared" si="14"/>
        <v>511.68799277359994</v>
      </c>
      <c r="D119" s="159">
        <f t="shared" si="16"/>
        <v>511.68799277359994</v>
      </c>
      <c r="E119" s="159">
        <v>1444901</v>
      </c>
      <c r="F119" s="160">
        <f t="shared" si="17"/>
        <v>1444901</v>
      </c>
      <c r="G119" s="161">
        <v>0.49459999999999998</v>
      </c>
      <c r="H119" s="159">
        <v>0</v>
      </c>
      <c r="I119" s="162"/>
      <c r="J119" s="162"/>
      <c r="K119" s="162"/>
    </row>
    <row r="120" spans="1:11">
      <c r="A120" s="151">
        <v>44987</v>
      </c>
      <c r="B120" s="152">
        <f t="shared" si="15"/>
        <v>3</v>
      </c>
      <c r="C120" s="153">
        <f t="shared" si="14"/>
        <v>0</v>
      </c>
      <c r="D120" s="153">
        <f t="shared" si="16"/>
        <v>0</v>
      </c>
      <c r="E120" s="153"/>
      <c r="F120" s="154">
        <f t="shared" si="17"/>
        <v>0</v>
      </c>
      <c r="G120" s="2"/>
      <c r="H120" s="153">
        <v>0</v>
      </c>
      <c r="I120" s="155"/>
      <c r="J120" s="155"/>
      <c r="K120" s="155"/>
    </row>
    <row r="121" spans="1:11">
      <c r="A121" s="151">
        <v>44988</v>
      </c>
      <c r="B121" s="152">
        <f t="shared" si="15"/>
        <v>3</v>
      </c>
      <c r="C121" s="153">
        <f t="shared" si="14"/>
        <v>0</v>
      </c>
      <c r="D121" s="153">
        <f t="shared" si="16"/>
        <v>0</v>
      </c>
      <c r="E121" s="153"/>
      <c r="F121" s="154">
        <f t="shared" si="17"/>
        <v>0</v>
      </c>
      <c r="G121" s="2"/>
      <c r="H121" s="153">
        <v>0</v>
      </c>
      <c r="I121" s="155"/>
      <c r="J121" s="155"/>
      <c r="K121" s="155"/>
    </row>
    <row r="122" spans="1:11">
      <c r="A122" s="151">
        <v>44989</v>
      </c>
      <c r="B122" s="152">
        <f t="shared" si="15"/>
        <v>3</v>
      </c>
      <c r="C122" s="153">
        <f t="shared" si="14"/>
        <v>0</v>
      </c>
      <c r="D122" s="153">
        <f t="shared" si="16"/>
        <v>0</v>
      </c>
      <c r="E122" s="154"/>
      <c r="F122" s="154">
        <f t="shared" si="17"/>
        <v>0</v>
      </c>
      <c r="G122" s="2"/>
      <c r="H122" s="153">
        <v>0</v>
      </c>
      <c r="I122" s="155"/>
      <c r="J122" s="155"/>
      <c r="K122" s="155"/>
    </row>
    <row r="123" spans="1:11">
      <c r="A123" s="151">
        <v>44990</v>
      </c>
      <c r="B123" s="152">
        <f t="shared" si="15"/>
        <v>3</v>
      </c>
      <c r="C123" s="153">
        <f t="shared" si="14"/>
        <v>0</v>
      </c>
      <c r="D123" s="153">
        <f t="shared" si="16"/>
        <v>0</v>
      </c>
      <c r="E123" s="153"/>
      <c r="F123" s="154">
        <f t="shared" si="17"/>
        <v>0</v>
      </c>
      <c r="G123" s="2"/>
      <c r="H123" s="153">
        <v>0</v>
      </c>
      <c r="I123" s="155"/>
      <c r="J123" s="155"/>
      <c r="K123" s="155"/>
    </row>
    <row r="124" spans="1:11">
      <c r="A124" s="151">
        <v>44991</v>
      </c>
      <c r="B124" s="152">
        <f t="shared" si="15"/>
        <v>3</v>
      </c>
      <c r="C124" s="153">
        <f t="shared" si="14"/>
        <v>0</v>
      </c>
      <c r="D124" s="153">
        <f t="shared" si="16"/>
        <v>0</v>
      </c>
      <c r="E124" s="153"/>
      <c r="F124" s="154">
        <f t="shared" si="17"/>
        <v>0</v>
      </c>
      <c r="G124" s="2"/>
      <c r="H124" s="153">
        <v>0</v>
      </c>
      <c r="I124" s="155"/>
      <c r="J124" s="155"/>
      <c r="K124" s="155"/>
    </row>
    <row r="125" spans="1:11">
      <c r="A125" s="151">
        <v>44992</v>
      </c>
      <c r="B125" s="152">
        <f t="shared" si="15"/>
        <v>3</v>
      </c>
      <c r="C125" s="153">
        <f t="shared" si="14"/>
        <v>0</v>
      </c>
      <c r="D125" s="153">
        <f t="shared" si="16"/>
        <v>0</v>
      </c>
      <c r="E125" s="153"/>
      <c r="F125" s="154">
        <f t="shared" si="17"/>
        <v>0</v>
      </c>
      <c r="G125" s="2"/>
      <c r="H125" s="153">
        <v>0</v>
      </c>
      <c r="I125" s="155"/>
      <c r="J125" s="155"/>
      <c r="K125" s="155"/>
    </row>
    <row r="126" spans="1:11">
      <c r="A126" s="151">
        <v>44993</v>
      </c>
      <c r="B126" s="152">
        <f t="shared" si="15"/>
        <v>3</v>
      </c>
      <c r="C126" s="153">
        <f t="shared" si="14"/>
        <v>0</v>
      </c>
      <c r="D126" s="153">
        <f t="shared" si="16"/>
        <v>0</v>
      </c>
      <c r="E126" s="153"/>
      <c r="F126" s="154">
        <f t="shared" si="17"/>
        <v>0</v>
      </c>
      <c r="G126" s="2"/>
      <c r="H126" s="153">
        <v>0</v>
      </c>
      <c r="I126" s="155"/>
      <c r="J126" s="155"/>
      <c r="K126" s="155"/>
    </row>
    <row r="127" spans="1:11">
      <c r="A127" s="151">
        <v>44994</v>
      </c>
      <c r="B127" s="152">
        <f t="shared" si="15"/>
        <v>3</v>
      </c>
      <c r="C127" s="153">
        <f t="shared" ref="C127:C190" si="18">E127*G127*$J$3</f>
        <v>0</v>
      </c>
      <c r="D127" s="153">
        <f t="shared" si="16"/>
        <v>0</v>
      </c>
      <c r="E127" s="153"/>
      <c r="F127" s="154">
        <f t="shared" si="17"/>
        <v>0</v>
      </c>
      <c r="G127" s="2"/>
      <c r="H127" s="153">
        <v>0</v>
      </c>
      <c r="I127" s="155"/>
      <c r="J127" s="155"/>
      <c r="K127" s="155"/>
    </row>
    <row r="128" spans="1:11">
      <c r="A128" s="151">
        <v>44995</v>
      </c>
      <c r="B128" s="152">
        <f t="shared" ref="B128:B191" si="19">MONTH(A128)</f>
        <v>3</v>
      </c>
      <c r="C128" s="153">
        <f t="shared" si="18"/>
        <v>0</v>
      </c>
      <c r="D128" s="153">
        <f t="shared" ref="D128:D191" si="20">C128</f>
        <v>0</v>
      </c>
      <c r="E128" s="153"/>
      <c r="F128" s="154">
        <f t="shared" ref="F128:F191" si="21">E128</f>
        <v>0</v>
      </c>
      <c r="G128" s="2"/>
      <c r="H128" s="153">
        <v>0</v>
      </c>
      <c r="I128" s="155"/>
      <c r="J128" s="155"/>
      <c r="K128" s="155"/>
    </row>
    <row r="129" spans="1:11">
      <c r="A129" s="151">
        <v>44996</v>
      </c>
      <c r="B129" s="152">
        <f t="shared" si="19"/>
        <v>3</v>
      </c>
      <c r="C129" s="153">
        <f t="shared" si="18"/>
        <v>0</v>
      </c>
      <c r="D129" s="153">
        <f t="shared" si="20"/>
        <v>0</v>
      </c>
      <c r="E129" s="153"/>
      <c r="F129" s="154">
        <f t="shared" si="21"/>
        <v>0</v>
      </c>
      <c r="G129" s="2"/>
      <c r="H129" s="153">
        <v>0</v>
      </c>
      <c r="I129" s="155"/>
      <c r="J129" s="155"/>
      <c r="K129" s="155"/>
    </row>
    <row r="130" spans="1:11">
      <c r="A130" s="151">
        <v>44997</v>
      </c>
      <c r="B130" s="152">
        <f t="shared" si="19"/>
        <v>3</v>
      </c>
      <c r="C130" s="153">
        <f t="shared" si="18"/>
        <v>0</v>
      </c>
      <c r="D130" s="153">
        <f t="shared" si="20"/>
        <v>0</v>
      </c>
      <c r="E130" s="153"/>
      <c r="F130" s="154">
        <f t="shared" si="21"/>
        <v>0</v>
      </c>
      <c r="G130" s="2"/>
      <c r="H130" s="153">
        <v>0</v>
      </c>
      <c r="I130" s="155"/>
      <c r="J130" s="155"/>
      <c r="K130" s="155"/>
    </row>
    <row r="131" spans="1:11">
      <c r="A131" s="151">
        <v>44998</v>
      </c>
      <c r="B131" s="152">
        <f t="shared" si="19"/>
        <v>3</v>
      </c>
      <c r="C131" s="153">
        <f t="shared" si="18"/>
        <v>0</v>
      </c>
      <c r="D131" s="153">
        <f t="shared" si="20"/>
        <v>0</v>
      </c>
      <c r="E131" s="153"/>
      <c r="F131" s="154">
        <f t="shared" si="21"/>
        <v>0</v>
      </c>
      <c r="G131" s="2"/>
      <c r="H131" s="153">
        <v>0</v>
      </c>
      <c r="I131" s="155"/>
      <c r="J131" s="155"/>
      <c r="K131" s="155"/>
    </row>
    <row r="132" spans="1:11">
      <c r="A132" s="151">
        <v>44999</v>
      </c>
      <c r="B132" s="152">
        <f t="shared" si="19"/>
        <v>3</v>
      </c>
      <c r="C132" s="153">
        <f t="shared" si="18"/>
        <v>0</v>
      </c>
      <c r="D132" s="153">
        <f t="shared" si="20"/>
        <v>0</v>
      </c>
      <c r="E132" s="153"/>
      <c r="F132" s="154">
        <f t="shared" si="21"/>
        <v>0</v>
      </c>
      <c r="G132" s="2"/>
      <c r="H132" s="153">
        <v>0</v>
      </c>
      <c r="I132" s="155"/>
      <c r="J132" s="155"/>
      <c r="K132" s="155"/>
    </row>
    <row r="133" spans="1:11">
      <c r="A133" s="151">
        <v>45000</v>
      </c>
      <c r="B133" s="152">
        <f t="shared" si="19"/>
        <v>3</v>
      </c>
      <c r="C133" s="153">
        <f t="shared" si="18"/>
        <v>0</v>
      </c>
      <c r="D133" s="153">
        <f t="shared" si="20"/>
        <v>0</v>
      </c>
      <c r="E133" s="153"/>
      <c r="F133" s="154">
        <f t="shared" si="21"/>
        <v>0</v>
      </c>
      <c r="G133" s="2"/>
      <c r="H133" s="153">
        <v>0</v>
      </c>
      <c r="I133" s="155"/>
      <c r="J133" s="155"/>
      <c r="K133" s="155"/>
    </row>
    <row r="134" spans="1:11">
      <c r="A134" s="151">
        <v>45001</v>
      </c>
      <c r="B134" s="152">
        <f t="shared" si="19"/>
        <v>3</v>
      </c>
      <c r="C134" s="153">
        <f t="shared" si="18"/>
        <v>0</v>
      </c>
      <c r="D134" s="153">
        <f t="shared" si="20"/>
        <v>0</v>
      </c>
      <c r="E134" s="153"/>
      <c r="F134" s="154">
        <f t="shared" si="21"/>
        <v>0</v>
      </c>
      <c r="G134" s="2"/>
      <c r="H134" s="153">
        <v>0</v>
      </c>
      <c r="I134" s="155"/>
      <c r="J134" s="155"/>
      <c r="K134" s="155"/>
    </row>
    <row r="135" spans="1:11">
      <c r="A135" s="151">
        <v>45002</v>
      </c>
      <c r="B135" s="152">
        <f t="shared" si="19"/>
        <v>3</v>
      </c>
      <c r="C135" s="153">
        <f t="shared" si="18"/>
        <v>0</v>
      </c>
      <c r="D135" s="153">
        <f t="shared" si="20"/>
        <v>0</v>
      </c>
      <c r="E135" s="153"/>
      <c r="F135" s="154">
        <f t="shared" si="21"/>
        <v>0</v>
      </c>
      <c r="G135" s="2"/>
      <c r="H135" s="153">
        <v>0</v>
      </c>
      <c r="I135" s="155"/>
      <c r="J135" s="155"/>
      <c r="K135" s="155"/>
    </row>
    <row r="136" spans="1:11">
      <c r="A136" s="151">
        <v>45003</v>
      </c>
      <c r="B136" s="152">
        <f t="shared" si="19"/>
        <v>3</v>
      </c>
      <c r="C136" s="153">
        <f t="shared" si="18"/>
        <v>0</v>
      </c>
      <c r="D136" s="153">
        <f t="shared" si="20"/>
        <v>0</v>
      </c>
      <c r="E136" s="153"/>
      <c r="F136" s="154">
        <f t="shared" si="21"/>
        <v>0</v>
      </c>
      <c r="G136" s="2"/>
      <c r="H136" s="153">
        <v>0</v>
      </c>
      <c r="I136" s="155"/>
      <c r="J136" s="155"/>
      <c r="K136" s="155"/>
    </row>
    <row r="137" spans="1:11">
      <c r="A137" s="151">
        <v>45004</v>
      </c>
      <c r="B137" s="152">
        <f t="shared" si="19"/>
        <v>3</v>
      </c>
      <c r="C137" s="153">
        <f t="shared" si="18"/>
        <v>0</v>
      </c>
      <c r="D137" s="153">
        <f t="shared" si="20"/>
        <v>0</v>
      </c>
      <c r="E137" s="153"/>
      <c r="F137" s="154">
        <f t="shared" si="21"/>
        <v>0</v>
      </c>
      <c r="G137" s="2"/>
      <c r="H137" s="153">
        <v>0</v>
      </c>
      <c r="I137" s="155"/>
      <c r="J137" s="155"/>
      <c r="K137" s="155"/>
    </row>
    <row r="138" spans="1:11">
      <c r="A138" s="151">
        <v>45005</v>
      </c>
      <c r="B138" s="152">
        <f t="shared" si="19"/>
        <v>3</v>
      </c>
      <c r="C138" s="153">
        <f t="shared" si="18"/>
        <v>0</v>
      </c>
      <c r="D138" s="153">
        <f t="shared" si="20"/>
        <v>0</v>
      </c>
      <c r="E138" s="153"/>
      <c r="F138" s="154">
        <f t="shared" si="21"/>
        <v>0</v>
      </c>
      <c r="G138" s="2"/>
      <c r="H138" s="153">
        <v>0</v>
      </c>
      <c r="I138" s="155"/>
      <c r="J138" s="155"/>
      <c r="K138" s="155"/>
    </row>
    <row r="139" spans="1:11">
      <c r="A139" s="151">
        <v>45006</v>
      </c>
      <c r="B139" s="152">
        <f t="shared" si="19"/>
        <v>3</v>
      </c>
      <c r="C139" s="153">
        <f t="shared" si="18"/>
        <v>0</v>
      </c>
      <c r="D139" s="153">
        <f t="shared" si="20"/>
        <v>0</v>
      </c>
      <c r="E139" s="153"/>
      <c r="F139" s="154">
        <f t="shared" si="21"/>
        <v>0</v>
      </c>
      <c r="G139" s="2"/>
      <c r="H139" s="153">
        <v>0</v>
      </c>
      <c r="I139" s="155"/>
      <c r="J139" s="155"/>
      <c r="K139" s="155"/>
    </row>
    <row r="140" spans="1:11">
      <c r="A140" s="151">
        <v>45007</v>
      </c>
      <c r="B140" s="152">
        <f t="shared" si="19"/>
        <v>3</v>
      </c>
      <c r="C140" s="153">
        <f t="shared" si="18"/>
        <v>0</v>
      </c>
      <c r="D140" s="153">
        <f t="shared" si="20"/>
        <v>0</v>
      </c>
      <c r="E140" s="153"/>
      <c r="F140" s="154">
        <f t="shared" si="21"/>
        <v>0</v>
      </c>
      <c r="G140" s="2"/>
      <c r="H140" s="153">
        <v>0</v>
      </c>
      <c r="I140" s="155"/>
      <c r="J140" s="155"/>
      <c r="K140" s="155"/>
    </row>
    <row r="141" spans="1:11">
      <c r="A141" s="151">
        <v>45008</v>
      </c>
      <c r="B141" s="152">
        <f t="shared" si="19"/>
        <v>3</v>
      </c>
      <c r="C141" s="153">
        <f t="shared" si="18"/>
        <v>0</v>
      </c>
      <c r="D141" s="153">
        <f t="shared" si="20"/>
        <v>0</v>
      </c>
      <c r="E141" s="153"/>
      <c r="F141" s="154">
        <f t="shared" si="21"/>
        <v>0</v>
      </c>
      <c r="G141" s="2"/>
      <c r="H141" s="153">
        <v>0</v>
      </c>
      <c r="I141" s="155"/>
      <c r="J141" s="155"/>
      <c r="K141" s="155"/>
    </row>
    <row r="142" spans="1:11">
      <c r="A142" s="151">
        <v>45009</v>
      </c>
      <c r="B142" s="152">
        <f t="shared" si="19"/>
        <v>3</v>
      </c>
      <c r="C142" s="153">
        <f t="shared" si="18"/>
        <v>0</v>
      </c>
      <c r="D142" s="153">
        <f t="shared" si="20"/>
        <v>0</v>
      </c>
      <c r="E142" s="153"/>
      <c r="F142" s="154">
        <f t="shared" si="21"/>
        <v>0</v>
      </c>
      <c r="G142" s="2"/>
      <c r="H142" s="153">
        <v>0</v>
      </c>
      <c r="I142" s="155"/>
      <c r="J142" s="155"/>
      <c r="K142" s="155"/>
    </row>
    <row r="143" spans="1:11">
      <c r="A143" s="151">
        <v>45010</v>
      </c>
      <c r="B143" s="152">
        <f t="shared" si="19"/>
        <v>3</v>
      </c>
      <c r="C143" s="153">
        <f t="shared" si="18"/>
        <v>0</v>
      </c>
      <c r="D143" s="153">
        <f t="shared" si="20"/>
        <v>0</v>
      </c>
      <c r="E143" s="153"/>
      <c r="F143" s="154">
        <f t="shared" si="21"/>
        <v>0</v>
      </c>
      <c r="G143" s="2"/>
      <c r="H143" s="153">
        <v>0</v>
      </c>
      <c r="I143" s="155"/>
      <c r="J143" s="155"/>
      <c r="K143" s="155"/>
    </row>
    <row r="144" spans="1:11">
      <c r="A144" s="151">
        <v>45011</v>
      </c>
      <c r="B144" s="152">
        <f t="shared" si="19"/>
        <v>3</v>
      </c>
      <c r="C144" s="153">
        <f t="shared" si="18"/>
        <v>0</v>
      </c>
      <c r="D144" s="153">
        <f t="shared" si="20"/>
        <v>0</v>
      </c>
      <c r="F144" s="154">
        <f t="shared" si="21"/>
        <v>0</v>
      </c>
      <c r="G144" s="5"/>
      <c r="H144" s="153">
        <v>0</v>
      </c>
      <c r="I144" s="155"/>
      <c r="J144" s="155"/>
      <c r="K144" s="155"/>
    </row>
    <row r="145" spans="1:11">
      <c r="A145" s="151">
        <v>45012</v>
      </c>
      <c r="B145" s="152">
        <f t="shared" si="19"/>
        <v>3</v>
      </c>
      <c r="C145" s="153">
        <f t="shared" si="18"/>
        <v>0</v>
      </c>
      <c r="D145" s="153">
        <f t="shared" si="20"/>
        <v>0</v>
      </c>
      <c r="F145" s="154">
        <f t="shared" si="21"/>
        <v>0</v>
      </c>
      <c r="G145" s="5"/>
      <c r="H145" s="153">
        <v>0</v>
      </c>
      <c r="I145" s="155"/>
      <c r="J145" s="155"/>
      <c r="K145" s="155"/>
    </row>
    <row r="146" spans="1:11">
      <c r="A146" s="151">
        <v>45013</v>
      </c>
      <c r="B146" s="152">
        <f t="shared" si="19"/>
        <v>3</v>
      </c>
      <c r="C146" s="153">
        <f t="shared" si="18"/>
        <v>0</v>
      </c>
      <c r="D146" s="153">
        <f t="shared" si="20"/>
        <v>0</v>
      </c>
      <c r="E146" s="153"/>
      <c r="F146" s="154">
        <f t="shared" si="21"/>
        <v>0</v>
      </c>
      <c r="G146" s="2"/>
      <c r="H146" s="153">
        <v>0</v>
      </c>
      <c r="I146" s="155"/>
      <c r="J146" s="155"/>
      <c r="K146" s="155"/>
    </row>
    <row r="147" spans="1:11">
      <c r="A147" s="151">
        <v>45014</v>
      </c>
      <c r="B147" s="152">
        <f t="shared" si="19"/>
        <v>3</v>
      </c>
      <c r="C147" s="153">
        <f t="shared" si="18"/>
        <v>0</v>
      </c>
      <c r="D147" s="153">
        <f t="shared" si="20"/>
        <v>0</v>
      </c>
      <c r="E147" s="153"/>
      <c r="F147" s="154">
        <f t="shared" si="21"/>
        <v>0</v>
      </c>
      <c r="G147" s="2"/>
      <c r="H147" s="153">
        <v>0</v>
      </c>
      <c r="I147" s="155"/>
      <c r="J147" s="155"/>
      <c r="K147" s="155"/>
    </row>
    <row r="148" spans="1:11">
      <c r="A148" s="151">
        <v>45015</v>
      </c>
      <c r="B148" s="152">
        <f t="shared" si="19"/>
        <v>3</v>
      </c>
      <c r="C148" s="153">
        <f t="shared" si="18"/>
        <v>0</v>
      </c>
      <c r="D148" s="153">
        <f t="shared" si="20"/>
        <v>0</v>
      </c>
      <c r="E148" s="153"/>
      <c r="F148" s="154">
        <f t="shared" si="21"/>
        <v>0</v>
      </c>
      <c r="G148" s="2"/>
      <c r="H148" s="153">
        <v>0</v>
      </c>
      <c r="I148" s="155"/>
      <c r="J148" s="155"/>
      <c r="K148" s="155"/>
    </row>
    <row r="149" spans="1:11">
      <c r="A149" s="151">
        <v>45016</v>
      </c>
      <c r="B149" s="152">
        <f t="shared" si="19"/>
        <v>3</v>
      </c>
      <c r="C149" s="153">
        <f t="shared" si="18"/>
        <v>0</v>
      </c>
      <c r="D149" s="153">
        <f t="shared" si="20"/>
        <v>0</v>
      </c>
      <c r="E149" s="153"/>
      <c r="F149" s="154">
        <f t="shared" si="21"/>
        <v>0</v>
      </c>
      <c r="G149" s="2"/>
      <c r="H149" s="153">
        <v>0</v>
      </c>
      <c r="I149" s="155"/>
      <c r="J149" s="155"/>
      <c r="K149" s="155"/>
    </row>
    <row r="150" spans="1:11" s="163" customFormat="1">
      <c r="A150" s="157">
        <v>45017</v>
      </c>
      <c r="B150" s="158">
        <f t="shared" si="19"/>
        <v>4</v>
      </c>
      <c r="C150" s="159">
        <f t="shared" si="18"/>
        <v>441.05047033199997</v>
      </c>
      <c r="D150" s="159">
        <f t="shared" si="20"/>
        <v>441.05047033199997</v>
      </c>
      <c r="E150" s="160">
        <v>1186883</v>
      </c>
      <c r="F150" s="160">
        <f t="shared" si="21"/>
        <v>1186883</v>
      </c>
      <c r="G150" s="161">
        <v>0.51900000000000002</v>
      </c>
      <c r="H150" s="159">
        <v>0</v>
      </c>
      <c r="I150" s="162"/>
      <c r="J150" s="162"/>
      <c r="K150" s="162"/>
    </row>
    <row r="151" spans="1:11">
      <c r="A151" s="151">
        <v>45018</v>
      </c>
      <c r="B151" s="152">
        <f t="shared" si="19"/>
        <v>4</v>
      </c>
      <c r="C151" s="153">
        <f t="shared" si="18"/>
        <v>0</v>
      </c>
      <c r="D151" s="153">
        <f t="shared" si="20"/>
        <v>0</v>
      </c>
      <c r="E151" s="153"/>
      <c r="F151" s="154">
        <f t="shared" si="21"/>
        <v>0</v>
      </c>
      <c r="G151" s="2"/>
      <c r="H151" s="153">
        <v>0</v>
      </c>
      <c r="I151" s="155"/>
      <c r="J151" s="155"/>
      <c r="K151" s="155"/>
    </row>
    <row r="152" spans="1:11">
      <c r="A152" s="151">
        <v>45019</v>
      </c>
      <c r="B152" s="152">
        <f t="shared" si="19"/>
        <v>4</v>
      </c>
      <c r="C152" s="153">
        <f t="shared" si="18"/>
        <v>0</v>
      </c>
      <c r="D152" s="153">
        <f t="shared" si="20"/>
        <v>0</v>
      </c>
      <c r="E152" s="153"/>
      <c r="F152" s="154">
        <f t="shared" si="21"/>
        <v>0</v>
      </c>
      <c r="G152" s="2"/>
      <c r="H152" s="153">
        <v>0</v>
      </c>
      <c r="I152" s="155"/>
      <c r="J152" s="155"/>
      <c r="K152" s="155"/>
    </row>
    <row r="153" spans="1:11">
      <c r="A153" s="151">
        <v>45020</v>
      </c>
      <c r="B153" s="152">
        <f t="shared" si="19"/>
        <v>4</v>
      </c>
      <c r="C153" s="153">
        <f t="shared" si="18"/>
        <v>0</v>
      </c>
      <c r="D153" s="153">
        <f t="shared" si="20"/>
        <v>0</v>
      </c>
      <c r="E153" s="153"/>
      <c r="F153" s="154">
        <f t="shared" si="21"/>
        <v>0</v>
      </c>
      <c r="G153" s="2"/>
      <c r="H153" s="153">
        <v>0</v>
      </c>
      <c r="I153" s="155"/>
      <c r="J153" s="155"/>
      <c r="K153" s="155"/>
    </row>
    <row r="154" spans="1:11">
      <c r="A154" s="151">
        <v>45021</v>
      </c>
      <c r="B154" s="152">
        <f t="shared" si="19"/>
        <v>4</v>
      </c>
      <c r="C154" s="153">
        <f t="shared" si="18"/>
        <v>0</v>
      </c>
      <c r="D154" s="153">
        <f t="shared" si="20"/>
        <v>0</v>
      </c>
      <c r="E154" s="153"/>
      <c r="F154" s="154">
        <f t="shared" si="21"/>
        <v>0</v>
      </c>
      <c r="G154" s="2"/>
      <c r="H154" s="153">
        <v>0</v>
      </c>
      <c r="I154" s="155"/>
      <c r="J154" s="155"/>
      <c r="K154" s="155"/>
    </row>
    <row r="155" spans="1:11">
      <c r="A155" s="151">
        <v>45022</v>
      </c>
      <c r="B155" s="152">
        <f t="shared" si="19"/>
        <v>4</v>
      </c>
      <c r="C155" s="153">
        <f t="shared" si="18"/>
        <v>0</v>
      </c>
      <c r="D155" s="153">
        <f t="shared" si="20"/>
        <v>0</v>
      </c>
      <c r="E155" s="153"/>
      <c r="F155" s="154">
        <f t="shared" si="21"/>
        <v>0</v>
      </c>
      <c r="G155" s="2"/>
      <c r="H155" s="153">
        <v>0</v>
      </c>
      <c r="I155" s="155"/>
      <c r="J155" s="155"/>
      <c r="K155" s="155"/>
    </row>
    <row r="156" spans="1:11">
      <c r="A156" s="151">
        <v>45023</v>
      </c>
      <c r="B156" s="152">
        <f t="shared" si="19"/>
        <v>4</v>
      </c>
      <c r="C156" s="153">
        <f t="shared" si="18"/>
        <v>0</v>
      </c>
      <c r="D156" s="153">
        <f t="shared" si="20"/>
        <v>0</v>
      </c>
      <c r="E156" s="153"/>
      <c r="F156" s="154">
        <f t="shared" si="21"/>
        <v>0</v>
      </c>
      <c r="G156" s="2"/>
      <c r="H156" s="153">
        <v>0</v>
      </c>
      <c r="I156" s="155"/>
      <c r="J156" s="155"/>
      <c r="K156" s="155"/>
    </row>
    <row r="157" spans="1:11">
      <c r="A157" s="151">
        <v>45024</v>
      </c>
      <c r="B157" s="152">
        <f t="shared" si="19"/>
        <v>4</v>
      </c>
      <c r="C157" s="153">
        <f t="shared" si="18"/>
        <v>0</v>
      </c>
      <c r="D157" s="153">
        <f t="shared" si="20"/>
        <v>0</v>
      </c>
      <c r="E157" s="153"/>
      <c r="F157" s="154">
        <f t="shared" si="21"/>
        <v>0</v>
      </c>
      <c r="G157" s="2"/>
      <c r="H157" s="153">
        <v>0</v>
      </c>
      <c r="I157" s="155"/>
      <c r="J157" s="155"/>
      <c r="K157" s="155"/>
    </row>
    <row r="158" spans="1:11">
      <c r="A158" s="151">
        <v>45025</v>
      </c>
      <c r="B158" s="152">
        <f t="shared" si="19"/>
        <v>4</v>
      </c>
      <c r="C158" s="153">
        <f t="shared" si="18"/>
        <v>0</v>
      </c>
      <c r="D158" s="153">
        <f t="shared" si="20"/>
        <v>0</v>
      </c>
      <c r="E158" s="153"/>
      <c r="F158" s="154">
        <f t="shared" si="21"/>
        <v>0</v>
      </c>
      <c r="G158" s="2"/>
      <c r="H158" s="153">
        <v>0</v>
      </c>
      <c r="I158" s="155"/>
      <c r="J158" s="155"/>
      <c r="K158" s="155"/>
    </row>
    <row r="159" spans="1:11">
      <c r="A159" s="151">
        <v>45026</v>
      </c>
      <c r="B159" s="152">
        <f t="shared" si="19"/>
        <v>4</v>
      </c>
      <c r="C159" s="153">
        <f t="shared" si="18"/>
        <v>0</v>
      </c>
      <c r="D159" s="153">
        <f t="shared" si="20"/>
        <v>0</v>
      </c>
      <c r="E159" s="153"/>
      <c r="F159" s="154">
        <f t="shared" si="21"/>
        <v>0</v>
      </c>
      <c r="G159" s="2"/>
      <c r="H159" s="153">
        <v>0</v>
      </c>
      <c r="I159" s="155"/>
      <c r="J159" s="155"/>
      <c r="K159" s="155"/>
    </row>
    <row r="160" spans="1:11">
      <c r="A160" s="151">
        <v>45027</v>
      </c>
      <c r="B160" s="152">
        <f t="shared" si="19"/>
        <v>4</v>
      </c>
      <c r="C160" s="153">
        <f t="shared" si="18"/>
        <v>0</v>
      </c>
      <c r="D160" s="153">
        <f t="shared" si="20"/>
        <v>0</v>
      </c>
      <c r="E160" s="153"/>
      <c r="F160" s="154">
        <f t="shared" si="21"/>
        <v>0</v>
      </c>
      <c r="G160" s="2"/>
      <c r="H160" s="153">
        <v>0</v>
      </c>
      <c r="I160" s="155"/>
      <c r="J160" s="155"/>
      <c r="K160" s="155"/>
    </row>
    <row r="161" spans="1:11">
      <c r="A161" s="151">
        <v>45028</v>
      </c>
      <c r="B161" s="152">
        <f t="shared" si="19"/>
        <v>4</v>
      </c>
      <c r="C161" s="153">
        <f t="shared" si="18"/>
        <v>0</v>
      </c>
      <c r="D161" s="153">
        <f t="shared" si="20"/>
        <v>0</v>
      </c>
      <c r="E161" s="153"/>
      <c r="F161" s="154">
        <f t="shared" si="21"/>
        <v>0</v>
      </c>
      <c r="G161" s="2"/>
      <c r="H161" s="153">
        <v>0</v>
      </c>
      <c r="I161" s="155"/>
      <c r="J161" s="155"/>
      <c r="K161" s="155"/>
    </row>
    <row r="162" spans="1:11">
      <c r="A162" s="151">
        <v>45029</v>
      </c>
      <c r="B162" s="152">
        <f t="shared" si="19"/>
        <v>4</v>
      </c>
      <c r="C162" s="153">
        <f t="shared" si="18"/>
        <v>0</v>
      </c>
      <c r="D162" s="153">
        <f t="shared" si="20"/>
        <v>0</v>
      </c>
      <c r="E162" s="153"/>
      <c r="F162" s="154">
        <f t="shared" si="21"/>
        <v>0</v>
      </c>
      <c r="G162" s="2"/>
      <c r="H162" s="153">
        <v>0</v>
      </c>
      <c r="I162" s="155"/>
      <c r="J162" s="155"/>
      <c r="K162" s="155"/>
    </row>
    <row r="163" spans="1:11">
      <c r="A163" s="151">
        <v>45030</v>
      </c>
      <c r="B163" s="152">
        <f t="shared" si="19"/>
        <v>4</v>
      </c>
      <c r="C163" s="153">
        <f t="shared" si="18"/>
        <v>0</v>
      </c>
      <c r="D163" s="153">
        <f t="shared" si="20"/>
        <v>0</v>
      </c>
      <c r="E163" s="153"/>
      <c r="F163" s="154">
        <f t="shared" si="21"/>
        <v>0</v>
      </c>
      <c r="G163" s="2"/>
      <c r="H163" s="153">
        <v>0</v>
      </c>
      <c r="I163" s="155"/>
      <c r="J163" s="155"/>
      <c r="K163" s="155"/>
    </row>
    <row r="164" spans="1:11">
      <c r="A164" s="151">
        <v>45031</v>
      </c>
      <c r="B164" s="152">
        <f t="shared" si="19"/>
        <v>4</v>
      </c>
      <c r="C164" s="153">
        <f t="shared" si="18"/>
        <v>0</v>
      </c>
      <c r="D164" s="153">
        <f t="shared" si="20"/>
        <v>0</v>
      </c>
      <c r="E164" s="153"/>
      <c r="F164" s="154">
        <f t="shared" si="21"/>
        <v>0</v>
      </c>
      <c r="G164" s="2"/>
      <c r="H164" s="153">
        <v>0</v>
      </c>
      <c r="I164" s="155"/>
      <c r="J164" s="155"/>
      <c r="K164" s="155"/>
    </row>
    <row r="165" spans="1:11">
      <c r="A165" s="151">
        <v>45032</v>
      </c>
      <c r="B165" s="152">
        <f t="shared" si="19"/>
        <v>4</v>
      </c>
      <c r="C165" s="153">
        <f t="shared" si="18"/>
        <v>0</v>
      </c>
      <c r="D165" s="153">
        <f t="shared" si="20"/>
        <v>0</v>
      </c>
      <c r="E165" s="153"/>
      <c r="F165" s="154">
        <f t="shared" si="21"/>
        <v>0</v>
      </c>
      <c r="G165" s="2"/>
      <c r="H165" s="153">
        <v>0</v>
      </c>
      <c r="I165" s="155"/>
      <c r="J165" s="155"/>
      <c r="K165" s="155"/>
    </row>
    <row r="166" spans="1:11">
      <c r="A166" s="151">
        <v>45033</v>
      </c>
      <c r="B166" s="152">
        <f t="shared" si="19"/>
        <v>4</v>
      </c>
      <c r="C166" s="153">
        <f t="shared" si="18"/>
        <v>0</v>
      </c>
      <c r="D166" s="153">
        <f t="shared" si="20"/>
        <v>0</v>
      </c>
      <c r="E166" s="153"/>
      <c r="F166" s="154">
        <f t="shared" si="21"/>
        <v>0</v>
      </c>
      <c r="G166" s="2"/>
      <c r="H166" s="153">
        <v>0</v>
      </c>
      <c r="I166" s="155"/>
      <c r="J166" s="155"/>
      <c r="K166" s="155"/>
    </row>
    <row r="167" spans="1:11">
      <c r="A167" s="151">
        <v>45034</v>
      </c>
      <c r="B167" s="152">
        <f t="shared" si="19"/>
        <v>4</v>
      </c>
      <c r="C167" s="153">
        <f t="shared" si="18"/>
        <v>0</v>
      </c>
      <c r="D167" s="153">
        <f t="shared" si="20"/>
        <v>0</v>
      </c>
      <c r="E167" s="153"/>
      <c r="F167" s="154">
        <f t="shared" si="21"/>
        <v>0</v>
      </c>
      <c r="G167" s="2"/>
      <c r="H167" s="153">
        <v>0</v>
      </c>
      <c r="I167" s="155"/>
      <c r="J167" s="155"/>
      <c r="K167" s="155"/>
    </row>
    <row r="168" spans="1:11">
      <c r="A168" s="151">
        <v>45035</v>
      </c>
      <c r="B168" s="152">
        <f t="shared" si="19"/>
        <v>4</v>
      </c>
      <c r="C168" s="153">
        <f t="shared" si="18"/>
        <v>0</v>
      </c>
      <c r="D168" s="153">
        <f t="shared" si="20"/>
        <v>0</v>
      </c>
      <c r="E168" s="153"/>
      <c r="F168" s="154">
        <f t="shared" si="21"/>
        <v>0</v>
      </c>
      <c r="G168" s="2"/>
      <c r="H168" s="153">
        <v>0</v>
      </c>
      <c r="I168" s="155"/>
      <c r="J168" s="155"/>
      <c r="K168" s="155"/>
    </row>
    <row r="169" spans="1:11">
      <c r="A169" s="151">
        <v>45036</v>
      </c>
      <c r="B169" s="152">
        <f t="shared" si="19"/>
        <v>4</v>
      </c>
      <c r="C169" s="153">
        <f t="shared" si="18"/>
        <v>0</v>
      </c>
      <c r="D169" s="153">
        <f t="shared" si="20"/>
        <v>0</v>
      </c>
      <c r="E169" s="153"/>
      <c r="F169" s="154">
        <f t="shared" si="21"/>
        <v>0</v>
      </c>
      <c r="G169" s="2"/>
      <c r="H169" s="153">
        <v>0</v>
      </c>
      <c r="I169" s="155"/>
      <c r="J169" s="155"/>
      <c r="K169" s="155"/>
    </row>
    <row r="170" spans="1:11">
      <c r="A170" s="151">
        <v>45037</v>
      </c>
      <c r="B170" s="152">
        <f t="shared" si="19"/>
        <v>4</v>
      </c>
      <c r="C170" s="153">
        <f t="shared" si="18"/>
        <v>0</v>
      </c>
      <c r="D170" s="153">
        <f t="shared" si="20"/>
        <v>0</v>
      </c>
      <c r="E170" s="153"/>
      <c r="F170" s="154">
        <f t="shared" si="21"/>
        <v>0</v>
      </c>
      <c r="G170" s="2"/>
      <c r="H170" s="153">
        <v>0</v>
      </c>
      <c r="I170" s="155"/>
      <c r="J170" s="155"/>
      <c r="K170" s="155"/>
    </row>
    <row r="171" spans="1:11">
      <c r="A171" s="151">
        <v>45038</v>
      </c>
      <c r="B171" s="152">
        <f t="shared" si="19"/>
        <v>4</v>
      </c>
      <c r="C171" s="153">
        <f t="shared" si="18"/>
        <v>0</v>
      </c>
      <c r="D171" s="153">
        <f t="shared" si="20"/>
        <v>0</v>
      </c>
      <c r="E171" s="153"/>
      <c r="F171" s="154">
        <f t="shared" si="21"/>
        <v>0</v>
      </c>
      <c r="G171" s="2"/>
      <c r="H171" s="153">
        <v>0</v>
      </c>
      <c r="I171" s="155"/>
      <c r="J171" s="155"/>
      <c r="K171" s="155"/>
    </row>
    <row r="172" spans="1:11">
      <c r="A172" s="151">
        <v>45039</v>
      </c>
      <c r="B172" s="152">
        <f t="shared" si="19"/>
        <v>4</v>
      </c>
      <c r="C172" s="153">
        <f t="shared" si="18"/>
        <v>0</v>
      </c>
      <c r="D172" s="153">
        <f t="shared" si="20"/>
        <v>0</v>
      </c>
      <c r="E172" s="153"/>
      <c r="F172" s="154">
        <f t="shared" si="21"/>
        <v>0</v>
      </c>
      <c r="G172" s="2"/>
      <c r="H172" s="153">
        <v>0</v>
      </c>
      <c r="I172" s="155"/>
      <c r="J172" s="155"/>
      <c r="K172" s="155"/>
    </row>
    <row r="173" spans="1:11">
      <c r="A173" s="151">
        <v>45040</v>
      </c>
      <c r="B173" s="152">
        <f t="shared" si="19"/>
        <v>4</v>
      </c>
      <c r="C173" s="153">
        <f t="shared" si="18"/>
        <v>0</v>
      </c>
      <c r="D173" s="153">
        <f t="shared" si="20"/>
        <v>0</v>
      </c>
      <c r="E173" s="153"/>
      <c r="F173" s="154">
        <f t="shared" si="21"/>
        <v>0</v>
      </c>
      <c r="G173" s="2"/>
      <c r="H173" s="153">
        <v>0</v>
      </c>
      <c r="I173" s="155"/>
      <c r="J173" s="155"/>
      <c r="K173" s="155"/>
    </row>
    <row r="174" spans="1:11">
      <c r="A174" s="151">
        <v>45041</v>
      </c>
      <c r="B174" s="152">
        <f t="shared" si="19"/>
        <v>4</v>
      </c>
      <c r="C174" s="153">
        <f t="shared" si="18"/>
        <v>0</v>
      </c>
      <c r="D174" s="153">
        <f t="shared" si="20"/>
        <v>0</v>
      </c>
      <c r="F174" s="154">
        <f t="shared" si="21"/>
        <v>0</v>
      </c>
      <c r="G174" s="5"/>
      <c r="H174" s="153">
        <v>0</v>
      </c>
      <c r="I174" s="155"/>
      <c r="J174" s="155"/>
      <c r="K174" s="155"/>
    </row>
    <row r="175" spans="1:11">
      <c r="A175" s="151">
        <v>45042</v>
      </c>
      <c r="B175" s="152">
        <f t="shared" si="19"/>
        <v>4</v>
      </c>
      <c r="C175" s="153">
        <f t="shared" si="18"/>
        <v>0</v>
      </c>
      <c r="D175" s="153">
        <f t="shared" si="20"/>
        <v>0</v>
      </c>
      <c r="E175" s="153"/>
      <c r="F175" s="154">
        <f t="shared" si="21"/>
        <v>0</v>
      </c>
      <c r="G175" s="2"/>
      <c r="H175" s="153">
        <v>0</v>
      </c>
      <c r="I175" s="155"/>
      <c r="J175" s="155"/>
      <c r="K175" s="155"/>
    </row>
    <row r="176" spans="1:11">
      <c r="A176" s="151">
        <v>45043</v>
      </c>
      <c r="B176" s="152">
        <f t="shared" si="19"/>
        <v>4</v>
      </c>
      <c r="C176" s="153">
        <f t="shared" si="18"/>
        <v>0</v>
      </c>
      <c r="D176" s="153">
        <f t="shared" si="20"/>
        <v>0</v>
      </c>
      <c r="E176" s="153"/>
      <c r="F176" s="154">
        <f t="shared" si="21"/>
        <v>0</v>
      </c>
      <c r="G176" s="2"/>
      <c r="H176" s="153">
        <v>0</v>
      </c>
      <c r="I176" s="155"/>
      <c r="J176" s="155"/>
      <c r="K176" s="155"/>
    </row>
    <row r="177" spans="1:11">
      <c r="A177" s="151">
        <v>45044</v>
      </c>
      <c r="B177" s="152">
        <f t="shared" si="19"/>
        <v>4</v>
      </c>
      <c r="C177" s="153">
        <f t="shared" si="18"/>
        <v>0</v>
      </c>
      <c r="D177" s="153">
        <f t="shared" si="20"/>
        <v>0</v>
      </c>
      <c r="E177" s="153"/>
      <c r="F177" s="154">
        <f t="shared" si="21"/>
        <v>0</v>
      </c>
      <c r="G177" s="2"/>
      <c r="H177" s="153">
        <v>0</v>
      </c>
      <c r="I177" s="155"/>
      <c r="J177" s="155"/>
      <c r="K177" s="155"/>
    </row>
    <row r="178" spans="1:11">
      <c r="A178" s="151">
        <v>45045</v>
      </c>
      <c r="B178" s="152">
        <f t="shared" si="19"/>
        <v>4</v>
      </c>
      <c r="C178" s="153">
        <f t="shared" si="18"/>
        <v>0</v>
      </c>
      <c r="D178" s="153">
        <f t="shared" si="20"/>
        <v>0</v>
      </c>
      <c r="E178" s="153"/>
      <c r="F178" s="154">
        <f t="shared" si="21"/>
        <v>0</v>
      </c>
      <c r="G178" s="2"/>
      <c r="H178" s="153">
        <v>0</v>
      </c>
      <c r="I178" s="155"/>
      <c r="J178" s="155"/>
      <c r="K178" s="155"/>
    </row>
    <row r="179" spans="1:11">
      <c r="A179" s="151">
        <v>45046</v>
      </c>
      <c r="B179" s="152">
        <f t="shared" si="19"/>
        <v>4</v>
      </c>
      <c r="C179" s="153">
        <f t="shared" si="18"/>
        <v>0</v>
      </c>
      <c r="D179" s="153">
        <f t="shared" si="20"/>
        <v>0</v>
      </c>
      <c r="E179" s="153"/>
      <c r="F179" s="154">
        <f t="shared" si="21"/>
        <v>0</v>
      </c>
      <c r="G179" s="2"/>
      <c r="H179" s="153">
        <v>0</v>
      </c>
      <c r="I179" s="155"/>
      <c r="J179" s="155"/>
      <c r="K179" s="155"/>
    </row>
    <row r="180" spans="1:11" s="163" customFormat="1">
      <c r="A180" s="157">
        <v>45047</v>
      </c>
      <c r="B180" s="158">
        <f t="shared" si="19"/>
        <v>5</v>
      </c>
      <c r="C180" s="159">
        <f t="shared" si="18"/>
        <v>448.83607031999998</v>
      </c>
      <c r="D180" s="159">
        <f t="shared" si="20"/>
        <v>448.83607031999998</v>
      </c>
      <c r="E180" s="159">
        <v>1266396</v>
      </c>
      <c r="F180" s="160">
        <f t="shared" si="21"/>
        <v>1266396</v>
      </c>
      <c r="G180" s="161">
        <v>0.495</v>
      </c>
      <c r="H180" s="159">
        <v>0</v>
      </c>
      <c r="I180" s="162"/>
      <c r="J180" s="162"/>
      <c r="K180" s="162"/>
    </row>
    <row r="181" spans="1:11">
      <c r="A181" s="151">
        <v>45048</v>
      </c>
      <c r="B181" s="152">
        <f t="shared" si="19"/>
        <v>5</v>
      </c>
      <c r="C181" s="153">
        <f t="shared" si="18"/>
        <v>0</v>
      </c>
      <c r="D181" s="153">
        <f t="shared" si="20"/>
        <v>0</v>
      </c>
      <c r="E181" s="154"/>
      <c r="F181" s="154">
        <f t="shared" si="21"/>
        <v>0</v>
      </c>
      <c r="G181" s="2"/>
      <c r="H181" s="153">
        <v>0</v>
      </c>
      <c r="I181" s="155"/>
      <c r="J181" s="155"/>
      <c r="K181" s="155"/>
    </row>
    <row r="182" spans="1:11">
      <c r="A182" s="151">
        <v>45049</v>
      </c>
      <c r="B182" s="152">
        <f t="shared" si="19"/>
        <v>5</v>
      </c>
      <c r="C182" s="153">
        <f t="shared" si="18"/>
        <v>0</v>
      </c>
      <c r="D182" s="153">
        <f t="shared" si="20"/>
        <v>0</v>
      </c>
      <c r="E182" s="153"/>
      <c r="F182" s="154">
        <f t="shared" si="21"/>
        <v>0</v>
      </c>
      <c r="G182" s="2"/>
      <c r="H182" s="153">
        <v>0</v>
      </c>
      <c r="I182" s="155"/>
      <c r="J182" s="155"/>
      <c r="K182" s="155"/>
    </row>
    <row r="183" spans="1:11">
      <c r="A183" s="151">
        <v>45050</v>
      </c>
      <c r="B183" s="152">
        <f t="shared" si="19"/>
        <v>5</v>
      </c>
      <c r="C183" s="153">
        <f t="shared" si="18"/>
        <v>0</v>
      </c>
      <c r="D183" s="153">
        <f t="shared" si="20"/>
        <v>0</v>
      </c>
      <c r="E183" s="153"/>
      <c r="F183" s="154">
        <f t="shared" si="21"/>
        <v>0</v>
      </c>
      <c r="G183" s="2"/>
      <c r="H183" s="153">
        <v>0</v>
      </c>
      <c r="I183" s="155"/>
      <c r="J183" s="155"/>
      <c r="K183" s="155"/>
    </row>
    <row r="184" spans="1:11">
      <c r="A184" s="151">
        <v>45051</v>
      </c>
      <c r="B184" s="152">
        <f t="shared" si="19"/>
        <v>5</v>
      </c>
      <c r="C184" s="153">
        <f t="shared" si="18"/>
        <v>0</v>
      </c>
      <c r="D184" s="153">
        <f t="shared" si="20"/>
        <v>0</v>
      </c>
      <c r="E184" s="153"/>
      <c r="F184" s="154">
        <f t="shared" si="21"/>
        <v>0</v>
      </c>
      <c r="G184" s="2"/>
      <c r="H184" s="153">
        <v>0</v>
      </c>
      <c r="I184" s="155"/>
      <c r="J184" s="155"/>
      <c r="K184" s="155"/>
    </row>
    <row r="185" spans="1:11">
      <c r="A185" s="151">
        <v>45052</v>
      </c>
      <c r="B185" s="152">
        <f t="shared" si="19"/>
        <v>5</v>
      </c>
      <c r="C185" s="153">
        <f t="shared" si="18"/>
        <v>0</v>
      </c>
      <c r="D185" s="153">
        <f t="shared" si="20"/>
        <v>0</v>
      </c>
      <c r="E185" s="153"/>
      <c r="F185" s="154">
        <f t="shared" si="21"/>
        <v>0</v>
      </c>
      <c r="G185" s="2"/>
      <c r="H185" s="153">
        <v>0</v>
      </c>
      <c r="I185" s="155"/>
      <c r="J185" s="155"/>
      <c r="K185" s="155"/>
    </row>
    <row r="186" spans="1:11">
      <c r="A186" s="151">
        <v>45053</v>
      </c>
      <c r="B186" s="152">
        <f t="shared" si="19"/>
        <v>5</v>
      </c>
      <c r="C186" s="153">
        <f t="shared" si="18"/>
        <v>0</v>
      </c>
      <c r="D186" s="153">
        <f t="shared" si="20"/>
        <v>0</v>
      </c>
      <c r="E186" s="153"/>
      <c r="F186" s="154">
        <f t="shared" si="21"/>
        <v>0</v>
      </c>
      <c r="G186" s="2"/>
      <c r="H186" s="153">
        <v>0</v>
      </c>
      <c r="I186" s="155"/>
      <c r="J186" s="155"/>
      <c r="K186" s="155"/>
    </row>
    <row r="187" spans="1:11">
      <c r="A187" s="151">
        <v>45054</v>
      </c>
      <c r="B187" s="152">
        <f t="shared" si="19"/>
        <v>5</v>
      </c>
      <c r="C187" s="153">
        <f t="shared" si="18"/>
        <v>0</v>
      </c>
      <c r="D187" s="153">
        <f t="shared" si="20"/>
        <v>0</v>
      </c>
      <c r="E187" s="153"/>
      <c r="F187" s="154">
        <f t="shared" si="21"/>
        <v>0</v>
      </c>
      <c r="G187" s="2"/>
      <c r="H187" s="153">
        <v>0</v>
      </c>
      <c r="I187" s="155"/>
      <c r="J187" s="155"/>
      <c r="K187" s="155"/>
    </row>
    <row r="188" spans="1:11">
      <c r="A188" s="151">
        <v>45055</v>
      </c>
      <c r="B188" s="152">
        <f t="shared" si="19"/>
        <v>5</v>
      </c>
      <c r="C188" s="153">
        <f t="shared" si="18"/>
        <v>0</v>
      </c>
      <c r="D188" s="153">
        <f t="shared" si="20"/>
        <v>0</v>
      </c>
      <c r="E188" s="153"/>
      <c r="F188" s="154">
        <f t="shared" si="21"/>
        <v>0</v>
      </c>
      <c r="G188" s="2"/>
      <c r="H188" s="153">
        <v>0</v>
      </c>
      <c r="I188" s="155"/>
      <c r="J188" s="155"/>
      <c r="K188" s="155"/>
    </row>
    <row r="189" spans="1:11">
      <c r="A189" s="151">
        <v>45056</v>
      </c>
      <c r="B189" s="152">
        <f t="shared" si="19"/>
        <v>5</v>
      </c>
      <c r="C189" s="153">
        <f t="shared" si="18"/>
        <v>0</v>
      </c>
      <c r="D189" s="153">
        <f t="shared" si="20"/>
        <v>0</v>
      </c>
      <c r="E189" s="153"/>
      <c r="F189" s="154">
        <f t="shared" si="21"/>
        <v>0</v>
      </c>
      <c r="G189" s="2"/>
      <c r="H189" s="153">
        <v>0</v>
      </c>
      <c r="I189" s="155"/>
      <c r="J189" s="155"/>
      <c r="K189" s="155"/>
    </row>
    <row r="190" spans="1:11">
      <c r="A190" s="151">
        <v>45057</v>
      </c>
      <c r="B190" s="152">
        <f t="shared" si="19"/>
        <v>5</v>
      </c>
      <c r="C190" s="153">
        <f t="shared" si="18"/>
        <v>0</v>
      </c>
      <c r="D190" s="153">
        <f t="shared" si="20"/>
        <v>0</v>
      </c>
      <c r="E190" s="153"/>
      <c r="F190" s="154">
        <f t="shared" si="21"/>
        <v>0</v>
      </c>
      <c r="G190" s="2"/>
      <c r="H190" s="153">
        <v>0</v>
      </c>
      <c r="I190" s="155"/>
      <c r="J190" s="155"/>
      <c r="K190" s="155"/>
    </row>
    <row r="191" spans="1:11">
      <c r="A191" s="151">
        <v>45058</v>
      </c>
      <c r="B191" s="152">
        <f t="shared" si="19"/>
        <v>5</v>
      </c>
      <c r="C191" s="153">
        <f t="shared" ref="C191:C254" si="22">E191*G191*$J$3</f>
        <v>0</v>
      </c>
      <c r="D191" s="153">
        <f t="shared" si="20"/>
        <v>0</v>
      </c>
      <c r="E191" s="153"/>
      <c r="F191" s="154">
        <f t="shared" si="21"/>
        <v>0</v>
      </c>
      <c r="G191" s="2"/>
      <c r="H191" s="153">
        <v>0</v>
      </c>
      <c r="I191" s="155"/>
      <c r="J191" s="155"/>
      <c r="K191" s="155"/>
    </row>
    <row r="192" spans="1:11">
      <c r="A192" s="151">
        <v>45059</v>
      </c>
      <c r="B192" s="152">
        <f t="shared" ref="B192:B255" si="23">MONTH(A192)</f>
        <v>5</v>
      </c>
      <c r="C192" s="153">
        <f t="shared" si="22"/>
        <v>0</v>
      </c>
      <c r="D192" s="153">
        <f t="shared" ref="D192:D255" si="24">C192</f>
        <v>0</v>
      </c>
      <c r="E192" s="153"/>
      <c r="F192" s="154">
        <f t="shared" ref="F192:F255" si="25">E192</f>
        <v>0</v>
      </c>
      <c r="G192" s="2"/>
      <c r="H192" s="153">
        <v>0</v>
      </c>
      <c r="I192" s="155"/>
      <c r="J192" s="155"/>
      <c r="K192" s="155"/>
    </row>
    <row r="193" spans="1:11">
      <c r="A193" s="151">
        <v>45060</v>
      </c>
      <c r="B193" s="152">
        <f t="shared" si="23"/>
        <v>5</v>
      </c>
      <c r="C193" s="153">
        <f t="shared" si="22"/>
        <v>0</v>
      </c>
      <c r="D193" s="153">
        <f t="shared" si="24"/>
        <v>0</v>
      </c>
      <c r="E193" s="153"/>
      <c r="F193" s="154">
        <f t="shared" si="25"/>
        <v>0</v>
      </c>
      <c r="G193" s="2"/>
      <c r="H193" s="153">
        <v>0</v>
      </c>
      <c r="I193" s="155"/>
      <c r="J193" s="155"/>
      <c r="K193" s="155"/>
    </row>
    <row r="194" spans="1:11">
      <c r="A194" s="151">
        <v>45061</v>
      </c>
      <c r="B194" s="152">
        <f t="shared" si="23"/>
        <v>5</v>
      </c>
      <c r="C194" s="153">
        <f t="shared" si="22"/>
        <v>0</v>
      </c>
      <c r="D194" s="153">
        <f t="shared" si="24"/>
        <v>0</v>
      </c>
      <c r="E194" s="153"/>
      <c r="F194" s="154">
        <f t="shared" si="25"/>
        <v>0</v>
      </c>
      <c r="G194" s="2"/>
      <c r="H194" s="153">
        <v>0</v>
      </c>
      <c r="I194" s="155"/>
      <c r="J194" s="155"/>
      <c r="K194" s="155"/>
    </row>
    <row r="195" spans="1:11">
      <c r="A195" s="151">
        <v>45062</v>
      </c>
      <c r="B195" s="152">
        <f t="shared" si="23"/>
        <v>5</v>
      </c>
      <c r="C195" s="153">
        <f t="shared" si="22"/>
        <v>0</v>
      </c>
      <c r="D195" s="153">
        <f t="shared" si="24"/>
        <v>0</v>
      </c>
      <c r="E195" s="153"/>
      <c r="F195" s="154">
        <f t="shared" si="25"/>
        <v>0</v>
      </c>
      <c r="G195" s="2"/>
      <c r="H195" s="153">
        <v>0</v>
      </c>
      <c r="I195" s="155"/>
      <c r="J195" s="155"/>
      <c r="K195" s="155"/>
    </row>
    <row r="196" spans="1:11">
      <c r="A196" s="151">
        <v>45063</v>
      </c>
      <c r="B196" s="152">
        <f t="shared" si="23"/>
        <v>5</v>
      </c>
      <c r="C196" s="153">
        <f t="shared" si="22"/>
        <v>0</v>
      </c>
      <c r="D196" s="153">
        <f t="shared" si="24"/>
        <v>0</v>
      </c>
      <c r="E196" s="153"/>
      <c r="F196" s="154">
        <f t="shared" si="25"/>
        <v>0</v>
      </c>
      <c r="G196" s="2"/>
      <c r="H196" s="153">
        <v>0</v>
      </c>
      <c r="I196" s="155"/>
      <c r="J196" s="155"/>
      <c r="K196" s="155"/>
    </row>
    <row r="197" spans="1:11">
      <c r="A197" s="151">
        <v>45064</v>
      </c>
      <c r="B197" s="152">
        <f t="shared" si="23"/>
        <v>5</v>
      </c>
      <c r="C197" s="153">
        <f t="shared" si="22"/>
        <v>0</v>
      </c>
      <c r="D197" s="153">
        <f t="shared" si="24"/>
        <v>0</v>
      </c>
      <c r="E197" s="153"/>
      <c r="F197" s="154">
        <f t="shared" si="25"/>
        <v>0</v>
      </c>
      <c r="G197" s="2"/>
      <c r="H197" s="153">
        <v>0</v>
      </c>
      <c r="I197" s="155"/>
      <c r="J197" s="155"/>
      <c r="K197" s="155"/>
    </row>
    <row r="198" spans="1:11">
      <c r="A198" s="151">
        <v>45065</v>
      </c>
      <c r="B198" s="152">
        <f t="shared" si="23"/>
        <v>5</v>
      </c>
      <c r="C198" s="153">
        <f t="shared" si="22"/>
        <v>0</v>
      </c>
      <c r="D198" s="153">
        <f t="shared" si="24"/>
        <v>0</v>
      </c>
      <c r="E198" s="153"/>
      <c r="F198" s="154">
        <f t="shared" si="25"/>
        <v>0</v>
      </c>
      <c r="G198" s="2"/>
      <c r="H198" s="153">
        <v>0</v>
      </c>
      <c r="I198" s="155"/>
      <c r="J198" s="155"/>
      <c r="K198" s="155"/>
    </row>
    <row r="199" spans="1:11">
      <c r="A199" s="151">
        <v>45066</v>
      </c>
      <c r="B199" s="152">
        <f t="shared" si="23"/>
        <v>5</v>
      </c>
      <c r="C199" s="153">
        <f t="shared" si="22"/>
        <v>0</v>
      </c>
      <c r="D199" s="153">
        <f t="shared" si="24"/>
        <v>0</v>
      </c>
      <c r="E199" s="153"/>
      <c r="F199" s="154">
        <f t="shared" si="25"/>
        <v>0</v>
      </c>
      <c r="G199" s="2"/>
      <c r="H199" s="153">
        <v>0</v>
      </c>
      <c r="I199" s="155"/>
      <c r="J199" s="155"/>
      <c r="K199" s="155"/>
    </row>
    <row r="200" spans="1:11">
      <c r="A200" s="151">
        <v>45067</v>
      </c>
      <c r="B200" s="152">
        <f t="shared" si="23"/>
        <v>5</v>
      </c>
      <c r="C200" s="153">
        <f t="shared" si="22"/>
        <v>0</v>
      </c>
      <c r="D200" s="153">
        <f t="shared" si="24"/>
        <v>0</v>
      </c>
      <c r="E200" s="153"/>
      <c r="F200" s="154">
        <f t="shared" si="25"/>
        <v>0</v>
      </c>
      <c r="G200" s="2"/>
      <c r="H200" s="153">
        <v>0</v>
      </c>
      <c r="I200" s="155"/>
      <c r="J200" s="155"/>
      <c r="K200" s="155"/>
    </row>
    <row r="201" spans="1:11">
      <c r="A201" s="151">
        <v>45068</v>
      </c>
      <c r="B201" s="152">
        <f t="shared" si="23"/>
        <v>5</v>
      </c>
      <c r="C201" s="153">
        <f t="shared" si="22"/>
        <v>0</v>
      </c>
      <c r="D201" s="153">
        <f t="shared" si="24"/>
        <v>0</v>
      </c>
      <c r="E201" s="153"/>
      <c r="F201" s="154">
        <f t="shared" si="25"/>
        <v>0</v>
      </c>
      <c r="G201" s="2"/>
      <c r="H201" s="153">
        <v>0</v>
      </c>
      <c r="I201" s="155"/>
      <c r="J201" s="155"/>
      <c r="K201" s="155"/>
    </row>
    <row r="202" spans="1:11">
      <c r="A202" s="151">
        <v>45069</v>
      </c>
      <c r="B202" s="152">
        <f t="shared" si="23"/>
        <v>5</v>
      </c>
      <c r="C202" s="153">
        <f t="shared" si="22"/>
        <v>0</v>
      </c>
      <c r="D202" s="153">
        <f t="shared" si="24"/>
        <v>0</v>
      </c>
      <c r="E202" s="153"/>
      <c r="F202" s="154">
        <f t="shared" si="25"/>
        <v>0</v>
      </c>
      <c r="G202" s="2"/>
      <c r="H202" s="153">
        <v>0</v>
      </c>
      <c r="I202" s="155"/>
      <c r="J202" s="155"/>
      <c r="K202" s="155"/>
    </row>
    <row r="203" spans="1:11">
      <c r="A203" s="151">
        <v>45070</v>
      </c>
      <c r="B203" s="152">
        <f t="shared" si="23"/>
        <v>5</v>
      </c>
      <c r="C203" s="153">
        <f t="shared" si="22"/>
        <v>0</v>
      </c>
      <c r="D203" s="153">
        <f t="shared" si="24"/>
        <v>0</v>
      </c>
      <c r="E203" s="153"/>
      <c r="F203" s="154">
        <f t="shared" si="25"/>
        <v>0</v>
      </c>
      <c r="G203" s="2"/>
      <c r="H203" s="153">
        <v>0</v>
      </c>
      <c r="I203" s="155"/>
      <c r="J203" s="155"/>
      <c r="K203" s="155"/>
    </row>
    <row r="204" spans="1:11">
      <c r="A204" s="151">
        <v>45071</v>
      </c>
      <c r="B204" s="152">
        <f t="shared" si="23"/>
        <v>5</v>
      </c>
      <c r="C204" s="153">
        <f t="shared" si="22"/>
        <v>0</v>
      </c>
      <c r="D204" s="153">
        <f t="shared" si="24"/>
        <v>0</v>
      </c>
      <c r="E204" s="153"/>
      <c r="F204" s="154">
        <f t="shared" si="25"/>
        <v>0</v>
      </c>
      <c r="G204" s="2"/>
      <c r="H204" s="153">
        <v>0</v>
      </c>
      <c r="I204" s="155"/>
      <c r="J204" s="155"/>
      <c r="K204" s="155"/>
    </row>
    <row r="205" spans="1:11">
      <c r="A205" s="151">
        <v>45072</v>
      </c>
      <c r="B205" s="152">
        <f t="shared" si="23"/>
        <v>5</v>
      </c>
      <c r="C205" s="153">
        <f t="shared" si="22"/>
        <v>0</v>
      </c>
      <c r="D205" s="153">
        <f t="shared" si="24"/>
        <v>0</v>
      </c>
      <c r="E205" s="153"/>
      <c r="F205" s="154">
        <f t="shared" si="25"/>
        <v>0</v>
      </c>
      <c r="G205" s="2"/>
      <c r="H205" s="153">
        <v>0</v>
      </c>
      <c r="I205" s="155"/>
      <c r="J205" s="155"/>
      <c r="K205" s="155"/>
    </row>
    <row r="206" spans="1:11">
      <c r="A206" s="151">
        <v>45073</v>
      </c>
      <c r="B206" s="152">
        <f t="shared" si="23"/>
        <v>5</v>
      </c>
      <c r="C206" s="153">
        <f t="shared" si="22"/>
        <v>0</v>
      </c>
      <c r="D206" s="153">
        <f t="shared" si="24"/>
        <v>0</v>
      </c>
      <c r="E206" s="153"/>
      <c r="F206" s="154">
        <f t="shared" si="25"/>
        <v>0</v>
      </c>
      <c r="G206" s="2"/>
      <c r="H206" s="153">
        <v>0</v>
      </c>
      <c r="I206" s="155"/>
      <c r="J206" s="155"/>
      <c r="K206" s="155"/>
    </row>
    <row r="207" spans="1:11">
      <c r="A207" s="151">
        <v>45074</v>
      </c>
      <c r="B207" s="152">
        <f t="shared" si="23"/>
        <v>5</v>
      </c>
      <c r="C207" s="153">
        <f t="shared" si="22"/>
        <v>0</v>
      </c>
      <c r="D207" s="153">
        <f t="shared" si="24"/>
        <v>0</v>
      </c>
      <c r="E207" s="153"/>
      <c r="F207" s="154">
        <f t="shared" si="25"/>
        <v>0</v>
      </c>
      <c r="G207" s="2"/>
      <c r="H207" s="153">
        <v>0</v>
      </c>
      <c r="I207" s="155"/>
      <c r="J207" s="155"/>
      <c r="K207" s="155"/>
    </row>
    <row r="208" spans="1:11">
      <c r="A208" s="151">
        <v>45075</v>
      </c>
      <c r="B208" s="152">
        <f t="shared" si="23"/>
        <v>5</v>
      </c>
      <c r="C208" s="153">
        <f t="shared" si="22"/>
        <v>0</v>
      </c>
      <c r="D208" s="153">
        <f t="shared" si="24"/>
        <v>0</v>
      </c>
      <c r="E208" s="153"/>
      <c r="F208" s="154">
        <f t="shared" si="25"/>
        <v>0</v>
      </c>
      <c r="G208" s="2"/>
      <c r="H208" s="153">
        <v>0</v>
      </c>
      <c r="I208" s="155"/>
      <c r="J208" s="155"/>
      <c r="K208" s="155"/>
    </row>
    <row r="209" spans="1:11">
      <c r="A209" s="151">
        <v>45076</v>
      </c>
      <c r="B209" s="152">
        <f t="shared" si="23"/>
        <v>5</v>
      </c>
      <c r="C209" s="153">
        <f t="shared" si="22"/>
        <v>0</v>
      </c>
      <c r="D209" s="153">
        <f t="shared" si="24"/>
        <v>0</v>
      </c>
      <c r="E209" s="153"/>
      <c r="F209" s="154">
        <f t="shared" si="25"/>
        <v>0</v>
      </c>
      <c r="G209" s="2"/>
      <c r="H209" s="153">
        <v>0</v>
      </c>
      <c r="I209" s="155"/>
      <c r="J209" s="155"/>
      <c r="K209" s="155"/>
    </row>
    <row r="210" spans="1:11">
      <c r="A210" s="151">
        <v>45077</v>
      </c>
      <c r="B210" s="152">
        <f t="shared" si="23"/>
        <v>5</v>
      </c>
      <c r="C210" s="153">
        <f t="shared" si="22"/>
        <v>0</v>
      </c>
      <c r="D210" s="153">
        <f t="shared" si="24"/>
        <v>0</v>
      </c>
      <c r="E210" s="153"/>
      <c r="F210" s="154">
        <f t="shared" si="25"/>
        <v>0</v>
      </c>
      <c r="G210" s="2"/>
      <c r="H210" s="153">
        <v>0</v>
      </c>
      <c r="I210" s="155"/>
      <c r="J210" s="155"/>
      <c r="K210" s="155"/>
    </row>
    <row r="211" spans="1:11" s="163" customFormat="1">
      <c r="A211" s="157">
        <v>45078</v>
      </c>
      <c r="B211" s="158">
        <f t="shared" si="23"/>
        <v>6</v>
      </c>
      <c r="C211" s="159">
        <f t="shared" si="22"/>
        <v>444.12904056759993</v>
      </c>
      <c r="D211" s="159">
        <f t="shared" si="24"/>
        <v>444.12904056759993</v>
      </c>
      <c r="E211" s="195">
        <v>1254128.5</v>
      </c>
      <c r="F211" s="160">
        <f t="shared" si="25"/>
        <v>1254128.5</v>
      </c>
      <c r="G211" s="161">
        <v>0.49459999999999998</v>
      </c>
      <c r="H211" s="159">
        <v>0</v>
      </c>
      <c r="I211" s="162"/>
      <c r="J211" s="162"/>
      <c r="K211" s="162"/>
    </row>
    <row r="212" spans="1:11">
      <c r="A212" s="151">
        <v>45079</v>
      </c>
      <c r="B212" s="152">
        <f t="shared" si="23"/>
        <v>6</v>
      </c>
      <c r="C212" s="153">
        <f t="shared" si="22"/>
        <v>0</v>
      </c>
      <c r="D212" s="153">
        <f t="shared" si="24"/>
        <v>0</v>
      </c>
      <c r="E212" s="153"/>
      <c r="F212" s="154">
        <f t="shared" si="25"/>
        <v>0</v>
      </c>
      <c r="G212" s="2"/>
      <c r="H212" s="153">
        <v>0</v>
      </c>
      <c r="I212" s="155"/>
      <c r="J212" s="155"/>
      <c r="K212" s="155"/>
    </row>
    <row r="213" spans="1:11">
      <c r="A213" s="151">
        <v>45080</v>
      </c>
      <c r="B213" s="152">
        <f t="shared" si="23"/>
        <v>6</v>
      </c>
      <c r="C213" s="153">
        <f t="shared" si="22"/>
        <v>0</v>
      </c>
      <c r="D213" s="153">
        <f t="shared" si="24"/>
        <v>0</v>
      </c>
      <c r="E213" s="153"/>
      <c r="F213" s="154">
        <f t="shared" si="25"/>
        <v>0</v>
      </c>
      <c r="G213" s="2"/>
      <c r="H213" s="153">
        <v>0</v>
      </c>
      <c r="I213" s="155"/>
      <c r="J213" s="155"/>
      <c r="K213" s="155"/>
    </row>
    <row r="214" spans="1:11">
      <c r="A214" s="151">
        <v>45081</v>
      </c>
      <c r="B214" s="152">
        <f t="shared" si="23"/>
        <v>6</v>
      </c>
      <c r="C214" s="153">
        <f t="shared" si="22"/>
        <v>0</v>
      </c>
      <c r="D214" s="153">
        <f t="shared" si="24"/>
        <v>0</v>
      </c>
      <c r="E214" s="153"/>
      <c r="F214" s="154">
        <f t="shared" si="25"/>
        <v>0</v>
      </c>
      <c r="G214" s="2"/>
      <c r="H214" s="153">
        <v>0</v>
      </c>
      <c r="I214" s="155"/>
      <c r="J214" s="155"/>
      <c r="K214" s="155"/>
    </row>
    <row r="215" spans="1:11">
      <c r="A215" s="151">
        <v>45082</v>
      </c>
      <c r="B215" s="152">
        <f t="shared" si="23"/>
        <v>6</v>
      </c>
      <c r="C215" s="153">
        <f t="shared" si="22"/>
        <v>0</v>
      </c>
      <c r="D215" s="153">
        <f t="shared" si="24"/>
        <v>0</v>
      </c>
      <c r="E215" s="153"/>
      <c r="F215" s="154">
        <f t="shared" si="25"/>
        <v>0</v>
      </c>
      <c r="G215" s="2"/>
      <c r="H215" s="153">
        <v>0</v>
      </c>
      <c r="I215" s="155"/>
      <c r="J215" s="155"/>
      <c r="K215" s="155"/>
    </row>
    <row r="216" spans="1:11">
      <c r="A216" s="151">
        <v>45083</v>
      </c>
      <c r="B216" s="152">
        <f t="shared" si="23"/>
        <v>6</v>
      </c>
      <c r="C216" s="153">
        <f t="shared" si="22"/>
        <v>0</v>
      </c>
      <c r="D216" s="153">
        <f t="shared" si="24"/>
        <v>0</v>
      </c>
      <c r="E216" s="153"/>
      <c r="F216" s="154">
        <f t="shared" si="25"/>
        <v>0</v>
      </c>
      <c r="G216" s="2"/>
      <c r="H216" s="153">
        <v>0</v>
      </c>
      <c r="I216" s="155"/>
      <c r="J216" s="155"/>
      <c r="K216" s="155"/>
    </row>
    <row r="217" spans="1:11">
      <c r="A217" s="151">
        <v>45084</v>
      </c>
      <c r="B217" s="152">
        <f t="shared" si="23"/>
        <v>6</v>
      </c>
      <c r="C217" s="153">
        <f t="shared" si="22"/>
        <v>0</v>
      </c>
      <c r="D217" s="153">
        <f t="shared" si="24"/>
        <v>0</v>
      </c>
      <c r="E217" s="153"/>
      <c r="F217" s="154">
        <f t="shared" si="25"/>
        <v>0</v>
      </c>
      <c r="G217" s="2"/>
      <c r="H217" s="153">
        <v>0</v>
      </c>
      <c r="I217" s="155"/>
      <c r="J217" s="155"/>
      <c r="K217" s="155"/>
    </row>
    <row r="218" spans="1:11">
      <c r="A218" s="151">
        <v>45085</v>
      </c>
      <c r="B218" s="152">
        <f t="shared" si="23"/>
        <v>6</v>
      </c>
      <c r="C218" s="153">
        <f t="shared" si="22"/>
        <v>0</v>
      </c>
      <c r="D218" s="153">
        <f t="shared" si="24"/>
        <v>0</v>
      </c>
      <c r="E218" s="153"/>
      <c r="F218" s="154">
        <f t="shared" si="25"/>
        <v>0</v>
      </c>
      <c r="G218" s="2"/>
      <c r="H218" s="153">
        <v>0</v>
      </c>
      <c r="I218" s="155"/>
      <c r="J218" s="155"/>
      <c r="K218" s="155"/>
    </row>
    <row r="219" spans="1:11">
      <c r="A219" s="151">
        <v>45086</v>
      </c>
      <c r="B219" s="152">
        <f t="shared" si="23"/>
        <v>6</v>
      </c>
      <c r="C219" s="153">
        <f t="shared" si="22"/>
        <v>0</v>
      </c>
      <c r="D219" s="153">
        <f t="shared" si="24"/>
        <v>0</v>
      </c>
      <c r="E219" s="153"/>
      <c r="F219" s="154">
        <f t="shared" si="25"/>
        <v>0</v>
      </c>
      <c r="G219" s="2"/>
      <c r="H219" s="153">
        <v>0</v>
      </c>
      <c r="I219" s="155"/>
      <c r="J219" s="155"/>
      <c r="K219" s="155"/>
    </row>
    <row r="220" spans="1:11">
      <c r="A220" s="151">
        <v>45087</v>
      </c>
      <c r="B220" s="152">
        <f t="shared" si="23"/>
        <v>6</v>
      </c>
      <c r="C220" s="153">
        <f t="shared" si="22"/>
        <v>0</v>
      </c>
      <c r="D220" s="153">
        <f t="shared" si="24"/>
        <v>0</v>
      </c>
      <c r="E220" s="153"/>
      <c r="F220" s="154">
        <f t="shared" si="25"/>
        <v>0</v>
      </c>
      <c r="G220" s="2"/>
      <c r="H220" s="153">
        <v>0</v>
      </c>
      <c r="I220" s="155"/>
      <c r="J220" s="155"/>
      <c r="K220" s="155"/>
    </row>
    <row r="221" spans="1:11">
      <c r="A221" s="151">
        <v>45088</v>
      </c>
      <c r="B221" s="152">
        <f t="shared" si="23"/>
        <v>6</v>
      </c>
      <c r="C221" s="153">
        <f t="shared" si="22"/>
        <v>0</v>
      </c>
      <c r="D221" s="153">
        <f t="shared" si="24"/>
        <v>0</v>
      </c>
      <c r="E221" s="153"/>
      <c r="F221" s="154">
        <f t="shared" si="25"/>
        <v>0</v>
      </c>
      <c r="G221" s="2"/>
      <c r="H221" s="153">
        <v>0</v>
      </c>
      <c r="I221" s="155"/>
      <c r="J221" s="155"/>
      <c r="K221" s="155"/>
    </row>
    <row r="222" spans="1:11">
      <c r="A222" s="151">
        <v>45089</v>
      </c>
      <c r="B222" s="152">
        <f t="shared" si="23"/>
        <v>6</v>
      </c>
      <c r="C222" s="153">
        <f t="shared" si="22"/>
        <v>0</v>
      </c>
      <c r="D222" s="153">
        <f t="shared" si="24"/>
        <v>0</v>
      </c>
      <c r="E222" s="153"/>
      <c r="F222" s="154">
        <f t="shared" si="25"/>
        <v>0</v>
      </c>
      <c r="G222" s="2"/>
      <c r="H222" s="153">
        <v>0</v>
      </c>
      <c r="I222" s="155"/>
      <c r="J222" s="155"/>
      <c r="K222" s="155"/>
    </row>
    <row r="223" spans="1:11">
      <c r="A223" s="151">
        <v>45090</v>
      </c>
      <c r="B223" s="152">
        <f t="shared" si="23"/>
        <v>6</v>
      </c>
      <c r="C223" s="153">
        <f t="shared" si="22"/>
        <v>0</v>
      </c>
      <c r="D223" s="153">
        <f t="shared" si="24"/>
        <v>0</v>
      </c>
      <c r="E223" s="153"/>
      <c r="F223" s="154">
        <f t="shared" si="25"/>
        <v>0</v>
      </c>
      <c r="G223" s="2"/>
      <c r="H223" s="153">
        <v>0</v>
      </c>
      <c r="I223" s="155"/>
      <c r="J223" s="155"/>
      <c r="K223" s="155"/>
    </row>
    <row r="224" spans="1:11">
      <c r="A224" s="151">
        <v>45091</v>
      </c>
      <c r="B224" s="152">
        <f t="shared" si="23"/>
        <v>6</v>
      </c>
      <c r="C224" s="153">
        <f t="shared" si="22"/>
        <v>0</v>
      </c>
      <c r="D224" s="153">
        <f t="shared" si="24"/>
        <v>0</v>
      </c>
      <c r="E224" s="153"/>
      <c r="F224" s="154">
        <f t="shared" si="25"/>
        <v>0</v>
      </c>
      <c r="G224" s="2"/>
      <c r="H224" s="153">
        <v>0</v>
      </c>
      <c r="I224" s="155"/>
      <c r="J224" s="155"/>
      <c r="K224" s="155"/>
    </row>
    <row r="225" spans="1:11">
      <c r="A225" s="151">
        <v>45092</v>
      </c>
      <c r="B225" s="152">
        <f t="shared" si="23"/>
        <v>6</v>
      </c>
      <c r="C225" s="153">
        <f t="shared" si="22"/>
        <v>0</v>
      </c>
      <c r="D225" s="153">
        <f t="shared" si="24"/>
        <v>0</v>
      </c>
      <c r="E225" s="153"/>
      <c r="F225" s="154">
        <f t="shared" si="25"/>
        <v>0</v>
      </c>
      <c r="G225" s="2"/>
      <c r="H225" s="153">
        <v>0</v>
      </c>
      <c r="I225" s="155"/>
      <c r="J225" s="155"/>
      <c r="K225" s="155"/>
    </row>
    <row r="226" spans="1:11">
      <c r="A226" s="151">
        <v>45093</v>
      </c>
      <c r="B226" s="152">
        <f t="shared" si="23"/>
        <v>6</v>
      </c>
      <c r="C226" s="153">
        <f t="shared" si="22"/>
        <v>0</v>
      </c>
      <c r="D226" s="153">
        <f t="shared" si="24"/>
        <v>0</v>
      </c>
      <c r="E226" s="153"/>
      <c r="F226" s="154">
        <f t="shared" si="25"/>
        <v>0</v>
      </c>
      <c r="G226" s="2"/>
      <c r="H226" s="153">
        <v>0</v>
      </c>
      <c r="I226" s="155"/>
      <c r="J226" s="155"/>
      <c r="K226" s="155"/>
    </row>
    <row r="227" spans="1:11">
      <c r="A227" s="151">
        <v>45094</v>
      </c>
      <c r="B227" s="152">
        <f t="shared" si="23"/>
        <v>6</v>
      </c>
      <c r="C227" s="153">
        <f t="shared" si="22"/>
        <v>0</v>
      </c>
      <c r="D227" s="153">
        <f t="shared" si="24"/>
        <v>0</v>
      </c>
      <c r="E227" s="153"/>
      <c r="F227" s="154">
        <f t="shared" si="25"/>
        <v>0</v>
      </c>
      <c r="G227" s="2"/>
      <c r="H227" s="153">
        <v>0</v>
      </c>
      <c r="I227" s="155"/>
      <c r="J227" s="155"/>
      <c r="K227" s="155"/>
    </row>
    <row r="228" spans="1:11">
      <c r="A228" s="151">
        <v>45095</v>
      </c>
      <c r="B228" s="152">
        <f t="shared" si="23"/>
        <v>6</v>
      </c>
      <c r="C228" s="153">
        <f t="shared" si="22"/>
        <v>0</v>
      </c>
      <c r="D228" s="153">
        <f t="shared" si="24"/>
        <v>0</v>
      </c>
      <c r="E228" s="153"/>
      <c r="F228" s="154">
        <f t="shared" si="25"/>
        <v>0</v>
      </c>
      <c r="G228" s="2"/>
      <c r="H228" s="153">
        <v>0</v>
      </c>
      <c r="I228" s="155"/>
      <c r="J228" s="155"/>
      <c r="K228" s="155"/>
    </row>
    <row r="229" spans="1:11">
      <c r="A229" s="151">
        <v>45096</v>
      </c>
      <c r="B229" s="152">
        <f t="shared" si="23"/>
        <v>6</v>
      </c>
      <c r="C229" s="153">
        <f t="shared" si="22"/>
        <v>0</v>
      </c>
      <c r="D229" s="153">
        <f t="shared" si="24"/>
        <v>0</v>
      </c>
      <c r="E229" s="153"/>
      <c r="F229" s="154">
        <f t="shared" si="25"/>
        <v>0</v>
      </c>
      <c r="G229" s="2"/>
      <c r="H229" s="153">
        <v>0</v>
      </c>
      <c r="I229" s="155"/>
      <c r="J229" s="155"/>
      <c r="K229" s="155"/>
    </row>
    <row r="230" spans="1:11">
      <c r="A230" s="151">
        <v>45097</v>
      </c>
      <c r="B230" s="152">
        <f t="shared" si="23"/>
        <v>6</v>
      </c>
      <c r="C230" s="153">
        <f t="shared" si="22"/>
        <v>0</v>
      </c>
      <c r="D230" s="153">
        <f t="shared" si="24"/>
        <v>0</v>
      </c>
      <c r="E230" s="153"/>
      <c r="F230" s="154">
        <f t="shared" si="25"/>
        <v>0</v>
      </c>
      <c r="G230" s="2"/>
      <c r="H230" s="153">
        <v>0</v>
      </c>
      <c r="I230" s="155"/>
      <c r="J230" s="155"/>
      <c r="K230" s="155"/>
    </row>
    <row r="231" spans="1:11">
      <c r="A231" s="151">
        <v>45098</v>
      </c>
      <c r="B231" s="152">
        <f t="shared" si="23"/>
        <v>6</v>
      </c>
      <c r="C231" s="153">
        <f t="shared" si="22"/>
        <v>0</v>
      </c>
      <c r="D231" s="153">
        <f t="shared" si="24"/>
        <v>0</v>
      </c>
      <c r="E231" s="153"/>
      <c r="F231" s="154">
        <f t="shared" si="25"/>
        <v>0</v>
      </c>
      <c r="G231" s="2"/>
      <c r="H231" s="153">
        <v>0</v>
      </c>
      <c r="I231" s="155"/>
      <c r="J231" s="155"/>
      <c r="K231" s="155"/>
    </row>
    <row r="232" spans="1:11">
      <c r="A232" s="151">
        <v>45099</v>
      </c>
      <c r="B232" s="152">
        <f t="shared" si="23"/>
        <v>6</v>
      </c>
      <c r="C232" s="153">
        <f t="shared" si="22"/>
        <v>0</v>
      </c>
      <c r="D232" s="153">
        <f t="shared" si="24"/>
        <v>0</v>
      </c>
      <c r="E232" s="153"/>
      <c r="F232" s="154">
        <f t="shared" si="25"/>
        <v>0</v>
      </c>
      <c r="G232" s="2"/>
      <c r="H232" s="153">
        <v>0</v>
      </c>
      <c r="I232" s="155"/>
      <c r="J232" s="155"/>
      <c r="K232" s="155"/>
    </row>
    <row r="233" spans="1:11">
      <c r="A233" s="151">
        <v>45100</v>
      </c>
      <c r="B233" s="152">
        <f t="shared" si="23"/>
        <v>6</v>
      </c>
      <c r="C233" s="153">
        <f t="shared" si="22"/>
        <v>0</v>
      </c>
      <c r="D233" s="153">
        <f t="shared" si="24"/>
        <v>0</v>
      </c>
      <c r="E233" s="153"/>
      <c r="F233" s="154">
        <f t="shared" si="25"/>
        <v>0</v>
      </c>
      <c r="G233" s="2"/>
      <c r="H233" s="153">
        <v>0</v>
      </c>
      <c r="I233" s="155"/>
      <c r="J233" s="155"/>
      <c r="K233" s="155"/>
    </row>
    <row r="234" spans="1:11">
      <c r="A234" s="151">
        <v>45101</v>
      </c>
      <c r="B234" s="152">
        <f t="shared" si="23"/>
        <v>6</v>
      </c>
      <c r="C234" s="153">
        <f t="shared" si="22"/>
        <v>0</v>
      </c>
      <c r="D234" s="153">
        <f t="shared" si="24"/>
        <v>0</v>
      </c>
      <c r="E234" s="153"/>
      <c r="F234" s="154">
        <f t="shared" si="25"/>
        <v>0</v>
      </c>
      <c r="G234" s="2"/>
      <c r="H234" s="153">
        <v>0</v>
      </c>
      <c r="I234" s="155"/>
      <c r="J234" s="155"/>
      <c r="K234" s="155"/>
    </row>
    <row r="235" spans="1:11">
      <c r="A235" s="151">
        <v>45102</v>
      </c>
      <c r="B235" s="152">
        <f t="shared" si="23"/>
        <v>6</v>
      </c>
      <c r="C235" s="153">
        <f t="shared" si="22"/>
        <v>0</v>
      </c>
      <c r="D235" s="153">
        <f t="shared" si="24"/>
        <v>0</v>
      </c>
      <c r="E235" s="153"/>
      <c r="F235" s="154">
        <f t="shared" si="25"/>
        <v>0</v>
      </c>
      <c r="G235" s="2"/>
      <c r="H235" s="153">
        <v>0</v>
      </c>
      <c r="I235" s="155"/>
      <c r="J235" s="155"/>
      <c r="K235" s="155"/>
    </row>
    <row r="236" spans="1:11">
      <c r="A236" s="151">
        <v>45103</v>
      </c>
      <c r="B236" s="152">
        <f t="shared" si="23"/>
        <v>6</v>
      </c>
      <c r="C236" s="153">
        <f t="shared" si="22"/>
        <v>0</v>
      </c>
      <c r="D236" s="153">
        <f t="shared" si="24"/>
        <v>0</v>
      </c>
      <c r="E236" s="153"/>
      <c r="F236" s="154">
        <f t="shared" si="25"/>
        <v>0</v>
      </c>
      <c r="G236" s="2"/>
      <c r="H236" s="153">
        <v>0</v>
      </c>
      <c r="I236" s="155"/>
      <c r="J236" s="155"/>
      <c r="K236" s="155"/>
    </row>
    <row r="237" spans="1:11">
      <c r="A237" s="151">
        <v>45104</v>
      </c>
      <c r="B237" s="152">
        <f t="shared" si="23"/>
        <v>6</v>
      </c>
      <c r="C237" s="153">
        <f t="shared" si="22"/>
        <v>0</v>
      </c>
      <c r="D237" s="153">
        <f t="shared" si="24"/>
        <v>0</v>
      </c>
      <c r="E237" s="153"/>
      <c r="F237" s="154">
        <f t="shared" si="25"/>
        <v>0</v>
      </c>
      <c r="G237" s="2"/>
      <c r="H237" s="153">
        <v>0</v>
      </c>
      <c r="I237" s="155"/>
      <c r="J237" s="155"/>
      <c r="K237" s="155"/>
    </row>
    <row r="238" spans="1:11">
      <c r="A238" s="151">
        <v>45105</v>
      </c>
      <c r="B238" s="152">
        <f t="shared" si="23"/>
        <v>6</v>
      </c>
      <c r="C238" s="153">
        <f t="shared" si="22"/>
        <v>0</v>
      </c>
      <c r="D238" s="153">
        <f t="shared" si="24"/>
        <v>0</v>
      </c>
      <c r="E238" s="153"/>
      <c r="F238" s="154">
        <f t="shared" si="25"/>
        <v>0</v>
      </c>
      <c r="G238" s="2"/>
      <c r="H238" s="153">
        <v>0</v>
      </c>
      <c r="I238" s="155"/>
      <c r="J238" s="155"/>
      <c r="K238" s="155"/>
    </row>
    <row r="239" spans="1:11">
      <c r="A239" s="151">
        <v>45106</v>
      </c>
      <c r="B239" s="152">
        <f t="shared" si="23"/>
        <v>6</v>
      </c>
      <c r="C239" s="153">
        <f t="shared" si="22"/>
        <v>0</v>
      </c>
      <c r="D239" s="153">
        <f t="shared" si="24"/>
        <v>0</v>
      </c>
      <c r="E239" s="153"/>
      <c r="F239" s="154">
        <f t="shared" si="25"/>
        <v>0</v>
      </c>
      <c r="G239" s="2"/>
      <c r="H239" s="153">
        <v>0</v>
      </c>
      <c r="I239" s="155"/>
      <c r="J239" s="155"/>
      <c r="K239" s="155"/>
    </row>
    <row r="240" spans="1:11">
      <c r="A240" s="151">
        <v>45107</v>
      </c>
      <c r="B240" s="152">
        <f t="shared" si="23"/>
        <v>6</v>
      </c>
      <c r="C240" s="153">
        <f t="shared" si="22"/>
        <v>0</v>
      </c>
      <c r="D240" s="153">
        <f t="shared" si="24"/>
        <v>0</v>
      </c>
      <c r="E240" s="153"/>
      <c r="F240" s="154">
        <f t="shared" si="25"/>
        <v>0</v>
      </c>
      <c r="G240" s="2"/>
      <c r="H240" s="153">
        <v>0</v>
      </c>
      <c r="I240" s="155"/>
      <c r="J240" s="155"/>
      <c r="K240" s="155"/>
    </row>
    <row r="241" spans="1:11" s="163" customFormat="1">
      <c r="A241" s="157">
        <v>45108</v>
      </c>
      <c r="B241" s="158">
        <f t="shared" si="23"/>
        <v>7</v>
      </c>
      <c r="C241" s="159">
        <f t="shared" si="22"/>
        <v>471.48770522559994</v>
      </c>
      <c r="D241" s="159">
        <f t="shared" si="24"/>
        <v>471.48770522559994</v>
      </c>
      <c r="E241" s="159">
        <v>1334081</v>
      </c>
      <c r="F241" s="160">
        <f t="shared" si="25"/>
        <v>1334081</v>
      </c>
      <c r="G241" s="161">
        <v>0.49359999999999998</v>
      </c>
      <c r="H241" s="159">
        <v>0</v>
      </c>
      <c r="I241" s="162"/>
      <c r="J241" s="162"/>
      <c r="K241" s="162"/>
    </row>
    <row r="242" spans="1:11">
      <c r="A242" s="151">
        <v>45109</v>
      </c>
      <c r="B242" s="152">
        <f t="shared" si="23"/>
        <v>7</v>
      </c>
      <c r="C242" s="153">
        <f t="shared" si="22"/>
        <v>0</v>
      </c>
      <c r="D242" s="153">
        <f t="shared" si="24"/>
        <v>0</v>
      </c>
      <c r="E242" s="192"/>
      <c r="F242" s="154">
        <f t="shared" si="25"/>
        <v>0</v>
      </c>
      <c r="G242" s="2"/>
      <c r="H242" s="153">
        <v>0</v>
      </c>
      <c r="I242" s="155"/>
      <c r="J242" s="155"/>
      <c r="K242" s="155"/>
    </row>
    <row r="243" spans="1:11">
      <c r="A243" s="151">
        <v>45110</v>
      </c>
      <c r="B243" s="152">
        <f t="shared" si="23"/>
        <v>7</v>
      </c>
      <c r="C243" s="153">
        <f t="shared" si="22"/>
        <v>0</v>
      </c>
      <c r="D243" s="153">
        <f t="shared" si="24"/>
        <v>0</v>
      </c>
      <c r="E243" s="153"/>
      <c r="F243" s="154">
        <f t="shared" si="25"/>
        <v>0</v>
      </c>
      <c r="G243" s="2"/>
      <c r="H243" s="153">
        <v>0</v>
      </c>
      <c r="I243" s="155"/>
      <c r="J243" s="155"/>
      <c r="K243" s="155"/>
    </row>
    <row r="244" spans="1:11">
      <c r="A244" s="151">
        <v>45111</v>
      </c>
      <c r="B244" s="152">
        <f t="shared" si="23"/>
        <v>7</v>
      </c>
      <c r="C244" s="153">
        <f t="shared" si="22"/>
        <v>0</v>
      </c>
      <c r="D244" s="153">
        <f t="shared" si="24"/>
        <v>0</v>
      </c>
      <c r="E244" s="153"/>
      <c r="F244" s="154">
        <f t="shared" si="25"/>
        <v>0</v>
      </c>
      <c r="G244" s="2"/>
      <c r="H244" s="153">
        <v>0</v>
      </c>
      <c r="I244" s="155"/>
      <c r="J244" s="155"/>
      <c r="K244" s="155"/>
    </row>
    <row r="245" spans="1:11">
      <c r="A245" s="151">
        <v>45112</v>
      </c>
      <c r="B245" s="152">
        <f t="shared" si="23"/>
        <v>7</v>
      </c>
      <c r="C245" s="153">
        <f t="shared" si="22"/>
        <v>0</v>
      </c>
      <c r="D245" s="153">
        <f t="shared" si="24"/>
        <v>0</v>
      </c>
      <c r="E245" s="153"/>
      <c r="F245" s="154">
        <f t="shared" si="25"/>
        <v>0</v>
      </c>
      <c r="G245" s="2"/>
      <c r="H245" s="153">
        <v>0</v>
      </c>
      <c r="I245" s="155"/>
      <c r="J245" s="155"/>
      <c r="K245" s="155"/>
    </row>
    <row r="246" spans="1:11">
      <c r="A246" s="151">
        <v>45113</v>
      </c>
      <c r="B246" s="152">
        <f t="shared" si="23"/>
        <v>7</v>
      </c>
      <c r="C246" s="153">
        <f t="shared" si="22"/>
        <v>0</v>
      </c>
      <c r="D246" s="153">
        <f t="shared" si="24"/>
        <v>0</v>
      </c>
      <c r="E246" s="153"/>
      <c r="F246" s="154">
        <f t="shared" si="25"/>
        <v>0</v>
      </c>
      <c r="G246" s="2"/>
      <c r="H246" s="153">
        <v>0</v>
      </c>
      <c r="I246" s="155"/>
      <c r="J246" s="155"/>
      <c r="K246" s="155"/>
    </row>
    <row r="247" spans="1:11">
      <c r="A247" s="151">
        <v>45114</v>
      </c>
      <c r="B247" s="152">
        <f t="shared" si="23"/>
        <v>7</v>
      </c>
      <c r="C247" s="153">
        <f t="shared" si="22"/>
        <v>0</v>
      </c>
      <c r="D247" s="153">
        <f t="shared" si="24"/>
        <v>0</v>
      </c>
      <c r="E247" s="153"/>
      <c r="F247" s="154">
        <f t="shared" si="25"/>
        <v>0</v>
      </c>
      <c r="G247" s="2"/>
      <c r="H247" s="153">
        <v>0</v>
      </c>
      <c r="I247" s="155"/>
      <c r="J247" s="155"/>
      <c r="K247" s="155"/>
    </row>
    <row r="248" spans="1:11">
      <c r="A248" s="151">
        <v>45115</v>
      </c>
      <c r="B248" s="152">
        <f t="shared" si="23"/>
        <v>7</v>
      </c>
      <c r="C248" s="153">
        <f t="shared" si="22"/>
        <v>0</v>
      </c>
      <c r="D248" s="153">
        <f t="shared" si="24"/>
        <v>0</v>
      </c>
      <c r="E248" s="153"/>
      <c r="F248" s="154">
        <f t="shared" si="25"/>
        <v>0</v>
      </c>
      <c r="G248" s="2"/>
      <c r="H248" s="153">
        <v>0</v>
      </c>
      <c r="I248" s="155"/>
      <c r="J248" s="155"/>
      <c r="K248" s="155"/>
    </row>
    <row r="249" spans="1:11">
      <c r="A249" s="151">
        <v>45116</v>
      </c>
      <c r="B249" s="152">
        <f t="shared" si="23"/>
        <v>7</v>
      </c>
      <c r="C249" s="153">
        <f t="shared" si="22"/>
        <v>0</v>
      </c>
      <c r="D249" s="153">
        <f t="shared" si="24"/>
        <v>0</v>
      </c>
      <c r="E249" s="153"/>
      <c r="F249" s="154">
        <f t="shared" si="25"/>
        <v>0</v>
      </c>
      <c r="G249" s="2"/>
      <c r="H249" s="153">
        <v>0</v>
      </c>
      <c r="I249" s="155"/>
      <c r="J249" s="155"/>
      <c r="K249" s="155"/>
    </row>
    <row r="250" spans="1:11">
      <c r="A250" s="151">
        <v>45117</v>
      </c>
      <c r="B250" s="152">
        <f t="shared" si="23"/>
        <v>7</v>
      </c>
      <c r="C250" s="153">
        <f t="shared" si="22"/>
        <v>0</v>
      </c>
      <c r="D250" s="153">
        <f t="shared" si="24"/>
        <v>0</v>
      </c>
      <c r="E250" s="153"/>
      <c r="F250" s="154">
        <f t="shared" si="25"/>
        <v>0</v>
      </c>
      <c r="G250" s="2"/>
      <c r="H250" s="153">
        <v>0</v>
      </c>
      <c r="I250" s="155"/>
      <c r="J250" s="155"/>
      <c r="K250" s="155"/>
    </row>
    <row r="251" spans="1:11">
      <c r="A251" s="151">
        <v>45118</v>
      </c>
      <c r="B251" s="152">
        <f t="shared" si="23"/>
        <v>7</v>
      </c>
      <c r="C251" s="153">
        <f t="shared" si="22"/>
        <v>0</v>
      </c>
      <c r="D251" s="153">
        <f t="shared" si="24"/>
        <v>0</v>
      </c>
      <c r="E251" s="153"/>
      <c r="F251" s="154">
        <f t="shared" si="25"/>
        <v>0</v>
      </c>
      <c r="G251" s="2"/>
      <c r="H251" s="153">
        <v>0</v>
      </c>
      <c r="I251" s="155"/>
      <c r="J251" s="155"/>
      <c r="K251" s="155"/>
    </row>
    <row r="252" spans="1:11">
      <c r="A252" s="151">
        <v>45119</v>
      </c>
      <c r="B252" s="152">
        <f t="shared" si="23"/>
        <v>7</v>
      </c>
      <c r="C252" s="153">
        <f t="shared" si="22"/>
        <v>0</v>
      </c>
      <c r="D252" s="153">
        <f t="shared" si="24"/>
        <v>0</v>
      </c>
      <c r="E252" s="153"/>
      <c r="F252" s="154">
        <f t="shared" si="25"/>
        <v>0</v>
      </c>
      <c r="G252" s="2"/>
      <c r="H252" s="153">
        <v>0</v>
      </c>
      <c r="I252" s="155"/>
      <c r="J252" s="155"/>
      <c r="K252" s="155"/>
    </row>
    <row r="253" spans="1:11">
      <c r="A253" s="151">
        <v>45120</v>
      </c>
      <c r="B253" s="152">
        <f t="shared" si="23"/>
        <v>7</v>
      </c>
      <c r="C253" s="153">
        <f t="shared" si="22"/>
        <v>0</v>
      </c>
      <c r="D253" s="153">
        <f t="shared" si="24"/>
        <v>0</v>
      </c>
      <c r="E253" s="153"/>
      <c r="F253" s="154">
        <f t="shared" si="25"/>
        <v>0</v>
      </c>
      <c r="G253" s="2"/>
      <c r="H253" s="153">
        <v>0</v>
      </c>
      <c r="I253" s="155"/>
      <c r="J253" s="155"/>
      <c r="K253" s="155"/>
    </row>
    <row r="254" spans="1:11">
      <c r="A254" s="151">
        <v>45121</v>
      </c>
      <c r="B254" s="152">
        <f t="shared" si="23"/>
        <v>7</v>
      </c>
      <c r="C254" s="153">
        <f t="shared" si="22"/>
        <v>0</v>
      </c>
      <c r="D254" s="153">
        <f t="shared" si="24"/>
        <v>0</v>
      </c>
      <c r="E254" s="153"/>
      <c r="F254" s="154">
        <f t="shared" si="25"/>
        <v>0</v>
      </c>
      <c r="G254" s="2"/>
      <c r="H254" s="153">
        <v>0</v>
      </c>
      <c r="I254" s="155"/>
      <c r="J254" s="155"/>
      <c r="K254" s="155"/>
    </row>
    <row r="255" spans="1:11">
      <c r="A255" s="151">
        <v>45122</v>
      </c>
      <c r="B255" s="152">
        <f t="shared" si="23"/>
        <v>7</v>
      </c>
      <c r="C255" s="153">
        <f t="shared" ref="C255:C264" si="26">E255*G255*$J$3</f>
        <v>0</v>
      </c>
      <c r="D255" s="153">
        <f t="shared" si="24"/>
        <v>0</v>
      </c>
      <c r="E255" s="153"/>
      <c r="F255" s="154">
        <f t="shared" si="25"/>
        <v>0</v>
      </c>
      <c r="G255" s="2"/>
      <c r="H255" s="153">
        <v>0</v>
      </c>
      <c r="I255" s="155"/>
      <c r="J255" s="155"/>
      <c r="K255" s="155"/>
    </row>
    <row r="256" spans="1:11">
      <c r="A256" s="151">
        <v>45123</v>
      </c>
      <c r="B256" s="152">
        <f t="shared" ref="B256:B264" si="27">MONTH(A256)</f>
        <v>7</v>
      </c>
      <c r="C256" s="153">
        <f t="shared" si="26"/>
        <v>0</v>
      </c>
      <c r="D256" s="153">
        <f t="shared" ref="D256:D271" si="28">C256</f>
        <v>0</v>
      </c>
      <c r="E256" s="153"/>
      <c r="F256" s="154">
        <f t="shared" ref="F256:F271" si="29">E256</f>
        <v>0</v>
      </c>
      <c r="G256" s="2"/>
      <c r="H256" s="153">
        <v>0</v>
      </c>
      <c r="I256" s="155"/>
      <c r="J256" s="155"/>
      <c r="K256" s="155"/>
    </row>
    <row r="257" spans="1:11">
      <c r="A257" s="151">
        <v>45124</v>
      </c>
      <c r="B257" s="152">
        <f t="shared" si="27"/>
        <v>7</v>
      </c>
      <c r="C257" s="153">
        <f t="shared" si="26"/>
        <v>0</v>
      </c>
      <c r="D257" s="153">
        <f t="shared" si="28"/>
        <v>0</v>
      </c>
      <c r="E257" s="153"/>
      <c r="F257" s="154">
        <f t="shared" si="29"/>
        <v>0</v>
      </c>
      <c r="G257" s="2"/>
      <c r="H257" s="153">
        <v>0</v>
      </c>
      <c r="I257" s="155"/>
      <c r="J257" s="155"/>
      <c r="K257" s="155"/>
    </row>
    <row r="258" spans="1:11">
      <c r="A258" s="151">
        <v>45125</v>
      </c>
      <c r="B258" s="152">
        <f t="shared" si="27"/>
        <v>7</v>
      </c>
      <c r="C258" s="153">
        <f t="shared" si="26"/>
        <v>0</v>
      </c>
      <c r="D258" s="153">
        <f t="shared" si="28"/>
        <v>0</v>
      </c>
      <c r="E258" s="153"/>
      <c r="F258" s="154">
        <f t="shared" si="29"/>
        <v>0</v>
      </c>
      <c r="G258" s="2"/>
      <c r="H258" s="153">
        <v>0</v>
      </c>
      <c r="I258" s="155"/>
      <c r="J258" s="155"/>
      <c r="K258" s="155"/>
    </row>
    <row r="259" spans="1:11">
      <c r="A259" s="151">
        <v>45126</v>
      </c>
      <c r="B259" s="152">
        <f t="shared" si="27"/>
        <v>7</v>
      </c>
      <c r="C259" s="153">
        <f t="shared" si="26"/>
        <v>0</v>
      </c>
      <c r="D259" s="153">
        <f t="shared" si="28"/>
        <v>0</v>
      </c>
      <c r="E259" s="153"/>
      <c r="F259" s="154">
        <f t="shared" si="29"/>
        <v>0</v>
      </c>
      <c r="G259" s="2"/>
      <c r="H259" s="153">
        <v>0</v>
      </c>
      <c r="I259" s="155"/>
      <c r="J259" s="155"/>
      <c r="K259" s="155"/>
    </row>
    <row r="260" spans="1:11">
      <c r="A260" s="151">
        <v>45127</v>
      </c>
      <c r="B260" s="152">
        <f t="shared" si="27"/>
        <v>7</v>
      </c>
      <c r="C260" s="153">
        <f t="shared" si="26"/>
        <v>0</v>
      </c>
      <c r="D260" s="153">
        <f t="shared" si="28"/>
        <v>0</v>
      </c>
      <c r="E260" s="153"/>
      <c r="F260" s="154">
        <f t="shared" si="29"/>
        <v>0</v>
      </c>
      <c r="G260" s="2"/>
      <c r="H260" s="153">
        <v>0</v>
      </c>
      <c r="I260" s="155"/>
      <c r="J260" s="155"/>
      <c r="K260" s="155"/>
    </row>
    <row r="261" spans="1:11">
      <c r="A261" s="151">
        <v>45128</v>
      </c>
      <c r="B261" s="152">
        <f t="shared" si="27"/>
        <v>7</v>
      </c>
      <c r="C261" s="153">
        <f t="shared" si="26"/>
        <v>0</v>
      </c>
      <c r="D261" s="153">
        <f t="shared" si="28"/>
        <v>0</v>
      </c>
      <c r="E261" s="153"/>
      <c r="F261" s="154">
        <f t="shared" si="29"/>
        <v>0</v>
      </c>
      <c r="G261" s="2"/>
      <c r="H261" s="153">
        <v>0</v>
      </c>
      <c r="I261" s="155"/>
      <c r="J261" s="155"/>
      <c r="K261" s="155"/>
    </row>
    <row r="262" spans="1:11">
      <c r="A262" s="151">
        <v>45129</v>
      </c>
      <c r="B262" s="152">
        <f t="shared" si="27"/>
        <v>7</v>
      </c>
      <c r="C262" s="153">
        <f t="shared" si="26"/>
        <v>0</v>
      </c>
      <c r="D262" s="153">
        <f t="shared" si="28"/>
        <v>0</v>
      </c>
      <c r="E262" s="153"/>
      <c r="F262" s="154">
        <f t="shared" si="29"/>
        <v>0</v>
      </c>
      <c r="G262" s="2"/>
      <c r="H262" s="153">
        <v>0</v>
      </c>
      <c r="I262" s="155"/>
      <c r="J262" s="155"/>
      <c r="K262" s="155"/>
    </row>
    <row r="263" spans="1:11">
      <c r="A263" s="151">
        <v>45130</v>
      </c>
      <c r="B263" s="152">
        <f t="shared" si="27"/>
        <v>7</v>
      </c>
      <c r="C263" s="153">
        <f t="shared" si="26"/>
        <v>0</v>
      </c>
      <c r="D263" s="153">
        <f t="shared" si="28"/>
        <v>0</v>
      </c>
      <c r="E263" s="153"/>
      <c r="F263" s="154">
        <f t="shared" si="29"/>
        <v>0</v>
      </c>
      <c r="G263" s="2"/>
      <c r="H263" s="153">
        <v>0</v>
      </c>
      <c r="I263" s="155"/>
      <c r="J263" s="155"/>
      <c r="K263" s="155"/>
    </row>
    <row r="264" spans="1:11">
      <c r="A264" s="151">
        <v>45131</v>
      </c>
      <c r="B264" s="152">
        <f t="shared" si="27"/>
        <v>7</v>
      </c>
      <c r="C264" s="153">
        <f t="shared" si="26"/>
        <v>0</v>
      </c>
      <c r="D264" s="153">
        <f t="shared" si="28"/>
        <v>0</v>
      </c>
      <c r="E264" s="153"/>
      <c r="F264" s="154">
        <f t="shared" si="29"/>
        <v>0</v>
      </c>
      <c r="G264" s="2"/>
      <c r="H264" s="153">
        <v>0</v>
      </c>
      <c r="I264" s="155"/>
      <c r="J264" s="155"/>
      <c r="K264" s="155"/>
    </row>
    <row r="265" spans="1:11">
      <c r="A265" s="151">
        <v>45132</v>
      </c>
      <c r="B265" s="152">
        <f>MONTH(A265)</f>
        <v>7</v>
      </c>
      <c r="C265" s="153">
        <f t="shared" ref="C265:C271" si="30">E265*G265*$J$3</f>
        <v>0</v>
      </c>
      <c r="D265" s="153">
        <f t="shared" si="28"/>
        <v>0</v>
      </c>
      <c r="E265" s="153"/>
      <c r="F265" s="154">
        <f t="shared" si="29"/>
        <v>0</v>
      </c>
      <c r="G265" s="152"/>
      <c r="H265" s="153">
        <v>0</v>
      </c>
      <c r="I265" s="155"/>
      <c r="J265" s="155"/>
      <c r="K265" s="155"/>
    </row>
    <row r="266" spans="1:11">
      <c r="A266" s="151">
        <v>45133</v>
      </c>
      <c r="B266" s="152">
        <f t="shared" ref="B266:B271" si="31">MONTH(A266)</f>
        <v>7</v>
      </c>
      <c r="C266" s="153">
        <f t="shared" si="30"/>
        <v>0</v>
      </c>
      <c r="D266" s="153">
        <f t="shared" si="28"/>
        <v>0</v>
      </c>
      <c r="E266" s="153"/>
      <c r="F266" s="154">
        <f t="shared" si="29"/>
        <v>0</v>
      </c>
      <c r="G266" s="152"/>
      <c r="H266" s="153">
        <v>0</v>
      </c>
      <c r="I266" s="155"/>
      <c r="J266" s="155"/>
      <c r="K266" s="155"/>
    </row>
    <row r="267" spans="1:11">
      <c r="A267" s="151">
        <v>45134</v>
      </c>
      <c r="B267" s="152">
        <f t="shared" si="31"/>
        <v>7</v>
      </c>
      <c r="C267" s="153">
        <f t="shared" si="30"/>
        <v>0</v>
      </c>
      <c r="D267" s="153">
        <f t="shared" si="28"/>
        <v>0</v>
      </c>
      <c r="E267" s="153"/>
      <c r="F267" s="154">
        <f t="shared" si="29"/>
        <v>0</v>
      </c>
      <c r="G267" s="152"/>
      <c r="H267" s="153">
        <v>0</v>
      </c>
      <c r="I267" s="155"/>
      <c r="J267" s="155"/>
      <c r="K267" s="155"/>
    </row>
    <row r="268" spans="1:11">
      <c r="A268" s="151">
        <v>45135</v>
      </c>
      <c r="B268" s="152">
        <f t="shared" si="31"/>
        <v>7</v>
      </c>
      <c r="C268" s="153">
        <f t="shared" si="30"/>
        <v>0</v>
      </c>
      <c r="D268" s="153">
        <f t="shared" si="28"/>
        <v>0</v>
      </c>
      <c r="E268" s="153"/>
      <c r="F268" s="154">
        <f t="shared" si="29"/>
        <v>0</v>
      </c>
      <c r="G268" s="152"/>
      <c r="H268" s="153">
        <v>0</v>
      </c>
      <c r="I268" s="155"/>
      <c r="J268" s="155"/>
      <c r="K268" s="155"/>
    </row>
    <row r="269" spans="1:11">
      <c r="A269" s="151">
        <v>45136</v>
      </c>
      <c r="B269" s="152">
        <f t="shared" si="31"/>
        <v>7</v>
      </c>
      <c r="C269" s="153">
        <f t="shared" si="30"/>
        <v>0</v>
      </c>
      <c r="D269" s="153">
        <f t="shared" si="28"/>
        <v>0</v>
      </c>
      <c r="E269" s="153"/>
      <c r="F269" s="154">
        <f t="shared" si="29"/>
        <v>0</v>
      </c>
      <c r="G269" s="152"/>
      <c r="H269" s="153">
        <v>0</v>
      </c>
      <c r="I269" s="155"/>
      <c r="J269" s="155"/>
      <c r="K269" s="155"/>
    </row>
    <row r="270" spans="1:11">
      <c r="A270" s="151">
        <v>45137</v>
      </c>
      <c r="B270" s="152">
        <f t="shared" si="31"/>
        <v>7</v>
      </c>
      <c r="C270" s="153">
        <f t="shared" si="30"/>
        <v>0</v>
      </c>
      <c r="D270" s="153">
        <f t="shared" si="28"/>
        <v>0</v>
      </c>
      <c r="E270" s="153"/>
      <c r="F270" s="154">
        <f t="shared" si="29"/>
        <v>0</v>
      </c>
      <c r="G270" s="152"/>
      <c r="H270" s="153">
        <v>0</v>
      </c>
      <c r="I270" s="155"/>
      <c r="J270" s="155"/>
      <c r="K270" s="155"/>
    </row>
    <row r="271" spans="1:11">
      <c r="A271" s="151">
        <v>45138</v>
      </c>
      <c r="B271" s="152">
        <f t="shared" si="31"/>
        <v>7</v>
      </c>
      <c r="C271" s="153">
        <f t="shared" si="30"/>
        <v>0</v>
      </c>
      <c r="D271" s="153">
        <f t="shared" si="28"/>
        <v>0</v>
      </c>
      <c r="E271" s="153"/>
      <c r="F271" s="154">
        <f t="shared" si="29"/>
        <v>0</v>
      </c>
      <c r="G271" s="152"/>
      <c r="H271" s="153">
        <v>0</v>
      </c>
      <c r="I271" s="155"/>
      <c r="J271" s="155"/>
      <c r="K271" s="155"/>
    </row>
    <row r="272" spans="1:11" s="163" customFormat="1">
      <c r="A272" s="157"/>
      <c r="B272" s="158"/>
      <c r="C272" s="159"/>
      <c r="D272" s="159"/>
      <c r="E272" s="160"/>
      <c r="F272" s="160"/>
      <c r="G272" s="161"/>
      <c r="H272" s="159"/>
      <c r="I272" s="162"/>
      <c r="J272" s="162"/>
      <c r="K272" s="162"/>
    </row>
    <row r="273" spans="1:11">
      <c r="A273" s="151"/>
      <c r="B273" s="152"/>
      <c r="C273" s="153"/>
      <c r="D273" s="153"/>
      <c r="E273" s="153"/>
      <c r="F273" s="154"/>
      <c r="G273" s="152"/>
      <c r="H273" s="153"/>
      <c r="I273" s="155"/>
      <c r="J273" s="155"/>
      <c r="K273" s="155"/>
    </row>
    <row r="274" spans="1:11">
      <c r="A274" s="151"/>
      <c r="B274" s="152"/>
      <c r="C274" s="153"/>
      <c r="D274" s="153"/>
      <c r="E274" s="153"/>
      <c r="F274" s="154"/>
      <c r="G274" s="152"/>
      <c r="H274" s="153"/>
      <c r="I274" s="155"/>
      <c r="J274" s="155"/>
      <c r="K274" s="155"/>
    </row>
    <row r="275" spans="1:11">
      <c r="A275" s="151"/>
      <c r="B275" s="152"/>
      <c r="C275" s="153"/>
      <c r="D275" s="153"/>
      <c r="E275" s="153"/>
      <c r="F275" s="154"/>
      <c r="G275" s="152"/>
      <c r="H275" s="153"/>
      <c r="I275" s="155"/>
      <c r="J275" s="155"/>
      <c r="K275" s="155"/>
    </row>
    <row r="276" spans="1:11">
      <c r="A276" s="151"/>
      <c r="B276" s="152"/>
      <c r="C276" s="153"/>
      <c r="D276" s="153"/>
      <c r="E276" s="153"/>
      <c r="F276" s="154"/>
      <c r="G276" s="152"/>
      <c r="H276" s="153"/>
      <c r="I276" s="155"/>
      <c r="J276" s="155"/>
      <c r="K276" s="155"/>
    </row>
    <row r="277" spans="1:11">
      <c r="A277" s="151"/>
      <c r="B277" s="152"/>
      <c r="C277" s="153"/>
      <c r="D277" s="153"/>
      <c r="E277" s="153"/>
      <c r="F277" s="154"/>
      <c r="G277" s="152"/>
      <c r="H277" s="153"/>
      <c r="I277" s="155"/>
      <c r="J277" s="155"/>
      <c r="K277" s="155"/>
    </row>
    <row r="278" spans="1:11">
      <c r="A278" s="151"/>
      <c r="B278" s="152"/>
      <c r="C278" s="153"/>
      <c r="D278" s="153"/>
      <c r="E278" s="153"/>
      <c r="F278" s="154"/>
      <c r="G278" s="152"/>
      <c r="H278" s="153"/>
      <c r="I278" s="155"/>
      <c r="J278" s="155"/>
      <c r="K278" s="155"/>
    </row>
    <row r="279" spans="1:11">
      <c r="A279" s="151"/>
      <c r="B279" s="152"/>
      <c r="C279" s="153"/>
      <c r="D279" s="153"/>
      <c r="E279" s="153"/>
      <c r="F279" s="154"/>
      <c r="G279" s="152"/>
      <c r="H279" s="153"/>
      <c r="I279" s="155"/>
      <c r="J279" s="155"/>
      <c r="K279" s="155"/>
    </row>
    <row r="280" spans="1:11">
      <c r="A280" s="151"/>
      <c r="B280" s="152"/>
      <c r="C280" s="153"/>
      <c r="D280" s="153"/>
      <c r="E280" s="153"/>
      <c r="F280" s="154"/>
      <c r="G280" s="152"/>
      <c r="H280" s="153"/>
      <c r="I280" s="155"/>
      <c r="J280" s="155"/>
      <c r="K280" s="155"/>
    </row>
    <row r="281" spans="1:11">
      <c r="A281" s="151"/>
      <c r="B281" s="152"/>
      <c r="C281" s="153"/>
      <c r="D281" s="153"/>
      <c r="E281" s="153"/>
      <c r="F281" s="154"/>
      <c r="G281" s="152"/>
      <c r="H281" s="153"/>
      <c r="I281" s="155"/>
      <c r="J281" s="155"/>
      <c r="K281" s="155"/>
    </row>
    <row r="282" spans="1:11">
      <c r="A282" s="151"/>
      <c r="B282" s="152"/>
      <c r="C282" s="153"/>
      <c r="D282" s="153"/>
      <c r="E282" s="153"/>
      <c r="F282" s="154"/>
      <c r="G282" s="152"/>
      <c r="H282" s="153"/>
      <c r="I282" s="155"/>
      <c r="J282" s="155"/>
      <c r="K282" s="155"/>
    </row>
    <row r="283" spans="1:11">
      <c r="A283" s="151"/>
      <c r="B283" s="152"/>
      <c r="C283" s="153"/>
      <c r="D283" s="153"/>
      <c r="E283" s="153"/>
      <c r="F283" s="154"/>
      <c r="G283" s="152"/>
      <c r="H283" s="153"/>
      <c r="I283" s="155"/>
      <c r="J283" s="155"/>
      <c r="K283" s="155"/>
    </row>
    <row r="284" spans="1:11">
      <c r="A284" s="151"/>
      <c r="B284" s="152"/>
      <c r="C284" s="153"/>
      <c r="D284" s="153"/>
      <c r="E284" s="153"/>
      <c r="F284" s="154"/>
      <c r="G284" s="152"/>
      <c r="H284" s="153"/>
      <c r="I284" s="155"/>
      <c r="J284" s="155"/>
      <c r="K284" s="155"/>
    </row>
    <row r="285" spans="1:11">
      <c r="A285" s="151"/>
      <c r="B285" s="152"/>
      <c r="C285" s="153"/>
      <c r="D285" s="153"/>
      <c r="E285" s="153"/>
      <c r="F285" s="154"/>
      <c r="G285" s="152"/>
      <c r="H285" s="153"/>
      <c r="I285" s="155"/>
      <c r="J285" s="155"/>
      <c r="K285" s="155"/>
    </row>
    <row r="286" spans="1:11">
      <c r="A286" s="151"/>
      <c r="B286" s="152"/>
      <c r="C286" s="153"/>
      <c r="D286" s="153"/>
      <c r="E286" s="153"/>
      <c r="F286" s="154"/>
      <c r="G286" s="152"/>
      <c r="H286" s="153"/>
      <c r="I286" s="155"/>
      <c r="J286" s="155"/>
      <c r="K286" s="155"/>
    </row>
    <row r="287" spans="1:11">
      <c r="A287" s="151"/>
      <c r="B287" s="152"/>
      <c r="C287" s="153"/>
      <c r="D287" s="153"/>
      <c r="E287" s="153"/>
      <c r="F287" s="154"/>
      <c r="G287" s="152"/>
      <c r="H287" s="153"/>
      <c r="I287" s="155"/>
      <c r="J287" s="155"/>
      <c r="K287" s="155"/>
    </row>
    <row r="288" spans="1:11">
      <c r="A288" s="151"/>
      <c r="B288" s="152"/>
      <c r="C288" s="153"/>
      <c r="D288" s="153"/>
      <c r="E288" s="153"/>
      <c r="F288" s="154"/>
      <c r="G288" s="152"/>
      <c r="H288" s="153"/>
      <c r="I288" s="155"/>
      <c r="J288" s="155"/>
      <c r="K288" s="155"/>
    </row>
    <row r="289" spans="1:11">
      <c r="A289" s="151"/>
      <c r="B289" s="152"/>
      <c r="C289" s="153"/>
      <c r="D289" s="153"/>
      <c r="E289" s="153"/>
      <c r="F289" s="154"/>
      <c r="G289" s="152"/>
      <c r="H289" s="153"/>
      <c r="I289" s="155"/>
      <c r="J289" s="155"/>
      <c r="K289" s="155"/>
    </row>
    <row r="290" spans="1:11">
      <c r="A290" s="151"/>
      <c r="B290" s="152"/>
      <c r="C290" s="153"/>
      <c r="D290" s="153"/>
      <c r="E290" s="153"/>
      <c r="F290" s="154"/>
      <c r="G290" s="152"/>
      <c r="H290" s="153"/>
      <c r="I290" s="155"/>
      <c r="J290" s="155"/>
      <c r="K290" s="155"/>
    </row>
    <row r="291" spans="1:11">
      <c r="A291" s="151"/>
      <c r="B291" s="152"/>
      <c r="C291" s="153"/>
      <c r="D291" s="153"/>
      <c r="E291" s="153"/>
      <c r="F291" s="154"/>
      <c r="G291" s="152"/>
      <c r="H291" s="153"/>
      <c r="I291" s="155"/>
      <c r="J291" s="155"/>
      <c r="K291" s="155"/>
    </row>
    <row r="292" spans="1:11">
      <c r="A292" s="151"/>
      <c r="B292" s="152"/>
      <c r="C292" s="153"/>
      <c r="D292" s="153"/>
      <c r="E292" s="153"/>
      <c r="F292" s="154"/>
      <c r="G292" s="152"/>
      <c r="H292" s="153"/>
      <c r="I292" s="155"/>
      <c r="J292" s="155"/>
      <c r="K292" s="155"/>
    </row>
    <row r="293" spans="1:11">
      <c r="A293" s="151"/>
      <c r="B293" s="152"/>
      <c r="C293" s="153"/>
      <c r="D293" s="153"/>
      <c r="E293" s="153"/>
      <c r="F293" s="154"/>
      <c r="G293" s="152"/>
      <c r="H293" s="153"/>
      <c r="I293" s="155"/>
      <c r="J293" s="155"/>
      <c r="K293" s="155"/>
    </row>
    <row r="294" spans="1:11">
      <c r="A294" s="151"/>
      <c r="B294" s="152"/>
      <c r="C294" s="153"/>
      <c r="D294" s="153"/>
      <c r="E294" s="153"/>
      <c r="F294" s="154"/>
      <c r="G294" s="152"/>
      <c r="H294" s="153"/>
      <c r="I294" s="155"/>
      <c r="J294" s="155"/>
      <c r="K294" s="155"/>
    </row>
    <row r="295" spans="1:11">
      <c r="A295" s="151"/>
      <c r="B295" s="152"/>
      <c r="C295" s="153"/>
      <c r="D295" s="153"/>
      <c r="E295" s="153"/>
      <c r="F295" s="154"/>
      <c r="G295" s="152"/>
      <c r="H295" s="153"/>
      <c r="I295" s="155"/>
      <c r="J295" s="155"/>
      <c r="K295" s="155"/>
    </row>
    <row r="296" spans="1:11">
      <c r="A296" s="151"/>
      <c r="B296" s="152"/>
      <c r="C296" s="153"/>
      <c r="D296" s="153"/>
      <c r="E296" s="153"/>
      <c r="F296" s="154"/>
      <c r="G296" s="152"/>
      <c r="H296" s="153"/>
      <c r="I296" s="155"/>
      <c r="J296" s="155"/>
      <c r="K296" s="155"/>
    </row>
    <row r="297" spans="1:11">
      <c r="A297" s="151"/>
      <c r="B297" s="152"/>
      <c r="C297" s="153"/>
      <c r="D297" s="153"/>
      <c r="E297" s="153"/>
      <c r="F297" s="154"/>
      <c r="G297" s="152"/>
      <c r="H297" s="153"/>
      <c r="I297" s="155"/>
      <c r="J297" s="155"/>
      <c r="K297" s="155"/>
    </row>
    <row r="298" spans="1:11">
      <c r="A298" s="151"/>
      <c r="B298" s="152"/>
      <c r="C298" s="153"/>
      <c r="D298" s="153"/>
      <c r="E298" s="153"/>
      <c r="F298" s="154"/>
      <c r="G298" s="152"/>
      <c r="H298" s="153"/>
      <c r="I298" s="155"/>
      <c r="J298" s="155"/>
      <c r="K298" s="155"/>
    </row>
    <row r="299" spans="1:11">
      <c r="A299" s="151"/>
      <c r="B299" s="152"/>
      <c r="C299" s="153"/>
      <c r="D299" s="153"/>
      <c r="E299" s="153"/>
      <c r="F299" s="154"/>
      <c r="G299" s="152"/>
      <c r="H299" s="153"/>
      <c r="I299" s="155"/>
      <c r="J299" s="155"/>
      <c r="K299" s="155"/>
    </row>
    <row r="300" spans="1:11">
      <c r="A300" s="151"/>
      <c r="B300" s="152"/>
      <c r="C300" s="153"/>
      <c r="D300" s="153"/>
      <c r="E300" s="153"/>
      <c r="F300" s="154"/>
      <c r="G300" s="152"/>
      <c r="H300" s="153"/>
      <c r="I300" s="155"/>
      <c r="J300" s="155"/>
      <c r="K300" s="155"/>
    </row>
    <row r="301" spans="1:11">
      <c r="A301" s="151"/>
      <c r="B301" s="152"/>
      <c r="C301" s="153"/>
      <c r="D301" s="153"/>
      <c r="E301" s="153"/>
      <c r="F301" s="154"/>
      <c r="G301" s="152"/>
      <c r="H301" s="153"/>
      <c r="I301" s="155"/>
      <c r="J301" s="155"/>
      <c r="K301" s="155"/>
    </row>
    <row r="302" spans="1:11">
      <c r="A302" s="151"/>
      <c r="B302" s="152"/>
      <c r="C302" s="153"/>
      <c r="D302" s="153"/>
      <c r="E302" s="153"/>
      <c r="F302" s="154"/>
      <c r="G302" s="152"/>
      <c r="H302" s="153"/>
      <c r="I302" s="155"/>
      <c r="J302" s="155"/>
      <c r="K302" s="155"/>
    </row>
    <row r="303" spans="1:11" s="163" customFormat="1">
      <c r="A303" s="157"/>
      <c r="B303" s="158"/>
      <c r="C303" s="159"/>
      <c r="D303" s="159"/>
      <c r="E303" s="160"/>
      <c r="F303" s="160"/>
      <c r="G303" s="196"/>
      <c r="H303" s="159"/>
      <c r="I303" s="162"/>
      <c r="J303" s="162"/>
      <c r="K303" s="162"/>
    </row>
    <row r="304" spans="1:11">
      <c r="A304" s="151"/>
      <c r="B304" s="152"/>
      <c r="C304" s="153"/>
      <c r="D304" s="153"/>
      <c r="E304" s="153"/>
      <c r="F304" s="154"/>
      <c r="G304" s="152"/>
      <c r="H304" s="153"/>
      <c r="I304" s="155"/>
      <c r="J304" s="155"/>
      <c r="K304" s="155"/>
    </row>
    <row r="305" spans="1:30">
      <c r="A305" s="151"/>
      <c r="B305" s="152"/>
      <c r="C305" s="153"/>
      <c r="D305" s="153"/>
      <c r="E305" s="153"/>
      <c r="F305" s="154"/>
      <c r="G305" s="152"/>
      <c r="H305" s="153"/>
      <c r="I305" s="155"/>
      <c r="J305" s="155"/>
      <c r="K305" s="155"/>
    </row>
    <row r="306" spans="1:30">
      <c r="A306" s="151"/>
      <c r="B306" s="152"/>
      <c r="C306" s="153"/>
      <c r="D306" s="153"/>
      <c r="E306" s="153"/>
      <c r="F306" s="154"/>
      <c r="G306" s="152"/>
      <c r="H306" s="153"/>
      <c r="I306" s="155"/>
      <c r="J306" s="155"/>
      <c r="K306" s="155"/>
      <c r="L306" s="155"/>
      <c r="M306" s="155"/>
      <c r="N306" s="155"/>
      <c r="O306" s="155"/>
      <c r="P306" s="155"/>
      <c r="Q306" s="155"/>
      <c r="R306" s="155"/>
      <c r="S306" s="155"/>
      <c r="T306" s="155"/>
      <c r="U306" s="155"/>
      <c r="V306" s="155"/>
      <c r="W306" s="155"/>
      <c r="X306" s="155"/>
      <c r="Y306" s="155"/>
      <c r="Z306" s="155"/>
      <c r="AA306" s="155"/>
      <c r="AB306" s="155"/>
      <c r="AC306" s="155"/>
      <c r="AD306" s="155"/>
    </row>
    <row r="307" spans="1:30">
      <c r="A307" s="151"/>
      <c r="B307" s="152"/>
      <c r="C307" s="153"/>
      <c r="D307" s="153"/>
      <c r="E307" s="153"/>
      <c r="F307" s="154"/>
      <c r="G307" s="152"/>
      <c r="H307" s="153"/>
      <c r="I307" s="155"/>
      <c r="J307" s="155"/>
      <c r="K307" s="155"/>
      <c r="L307" s="155"/>
      <c r="M307" s="155"/>
      <c r="N307" s="155"/>
      <c r="O307" s="155"/>
      <c r="P307" s="155"/>
      <c r="Q307" s="155"/>
      <c r="R307" s="155"/>
      <c r="S307" s="155"/>
      <c r="T307" s="155"/>
      <c r="U307" s="155"/>
      <c r="V307" s="155"/>
      <c r="W307" s="155"/>
      <c r="X307" s="155"/>
      <c r="Y307" s="155"/>
      <c r="Z307" s="155"/>
      <c r="AA307" s="155"/>
      <c r="AB307" s="155"/>
      <c r="AC307" s="155"/>
      <c r="AD307" s="155"/>
    </row>
    <row r="308" spans="1:30">
      <c r="A308" s="151"/>
      <c r="B308" s="152"/>
      <c r="C308" s="153"/>
      <c r="D308" s="153"/>
      <c r="E308" s="153"/>
      <c r="F308" s="154"/>
      <c r="G308" s="152"/>
      <c r="H308" s="153"/>
      <c r="I308" s="155"/>
      <c r="J308" s="155"/>
      <c r="K308" s="155"/>
      <c r="L308" s="155"/>
      <c r="M308" s="155"/>
      <c r="N308" s="155"/>
      <c r="O308" s="155"/>
      <c r="P308" s="155"/>
      <c r="Q308" s="155"/>
      <c r="R308" s="155"/>
      <c r="S308" s="155"/>
      <c r="T308" s="155"/>
      <c r="U308" s="155"/>
      <c r="V308" s="155"/>
      <c r="W308" s="155"/>
      <c r="X308" s="155"/>
      <c r="Y308" s="155"/>
      <c r="Z308" s="155"/>
      <c r="AA308" s="155"/>
      <c r="AB308" s="155"/>
      <c r="AC308" s="155"/>
      <c r="AD308" s="155"/>
    </row>
    <row r="309" spans="1:30">
      <c r="A309" s="151"/>
      <c r="B309" s="152"/>
      <c r="C309" s="153"/>
      <c r="D309" s="153"/>
      <c r="E309" s="153"/>
      <c r="F309" s="154"/>
      <c r="G309" s="152"/>
      <c r="H309" s="153"/>
      <c r="I309" s="155"/>
      <c r="J309" s="155"/>
      <c r="K309" s="155"/>
      <c r="L309" s="155"/>
      <c r="M309" s="155"/>
      <c r="N309" s="155"/>
      <c r="O309" s="155"/>
      <c r="P309" s="155"/>
      <c r="Q309" s="155"/>
      <c r="R309" s="155"/>
      <c r="S309" s="155"/>
      <c r="T309" s="155"/>
      <c r="U309" s="155"/>
      <c r="V309" s="155"/>
      <c r="W309" s="155"/>
      <c r="X309" s="155"/>
      <c r="Y309" s="155"/>
      <c r="Z309" s="155"/>
      <c r="AA309" s="155"/>
      <c r="AB309" s="155"/>
      <c r="AC309" s="155"/>
      <c r="AD309" s="155"/>
    </row>
    <row r="310" spans="1:30">
      <c r="A310" s="151"/>
      <c r="B310" s="152"/>
      <c r="C310" s="153"/>
      <c r="D310" s="153"/>
      <c r="E310" s="153"/>
      <c r="F310" s="154"/>
      <c r="G310" s="152"/>
      <c r="H310" s="153"/>
      <c r="I310" s="155"/>
      <c r="J310" s="155"/>
      <c r="K310" s="155"/>
      <c r="L310" s="155"/>
      <c r="M310" s="155"/>
      <c r="N310" s="155"/>
      <c r="O310" s="155"/>
      <c r="P310" s="155"/>
      <c r="Q310" s="155"/>
      <c r="R310" s="155"/>
      <c r="S310" s="155"/>
      <c r="T310" s="155"/>
      <c r="U310" s="155"/>
      <c r="V310" s="155"/>
      <c r="W310" s="155"/>
      <c r="X310" s="155"/>
      <c r="Y310" s="155"/>
      <c r="Z310" s="155"/>
      <c r="AA310" s="155"/>
      <c r="AB310" s="155"/>
      <c r="AC310" s="155"/>
      <c r="AD310" s="155"/>
    </row>
    <row r="311" spans="1:30">
      <c r="A311" s="151"/>
      <c r="B311" s="152"/>
      <c r="C311" s="153"/>
      <c r="D311" s="153"/>
      <c r="E311" s="153"/>
      <c r="F311" s="154"/>
      <c r="G311" s="152"/>
      <c r="H311" s="153"/>
      <c r="I311" s="155"/>
      <c r="J311" s="155"/>
      <c r="K311" s="155"/>
      <c r="L311" s="155"/>
      <c r="M311" s="155"/>
      <c r="N311" s="155"/>
      <c r="O311" s="155"/>
      <c r="P311" s="155"/>
      <c r="Q311" s="155"/>
      <c r="R311" s="155"/>
      <c r="S311" s="155"/>
      <c r="T311" s="155"/>
      <c r="U311" s="155"/>
      <c r="V311" s="155"/>
      <c r="W311" s="155"/>
      <c r="X311" s="155"/>
      <c r="Y311" s="155"/>
      <c r="Z311" s="155"/>
      <c r="AA311" s="155"/>
      <c r="AB311" s="155"/>
      <c r="AC311" s="155"/>
      <c r="AD311" s="155"/>
    </row>
    <row r="312" spans="1:30">
      <c r="A312" s="151"/>
      <c r="B312" s="152"/>
      <c r="C312" s="153"/>
      <c r="D312" s="153"/>
      <c r="E312" s="153"/>
      <c r="F312" s="154"/>
      <c r="G312" s="152"/>
      <c r="H312" s="153"/>
      <c r="I312" s="155"/>
      <c r="J312" s="155"/>
      <c r="K312" s="155"/>
      <c r="L312" s="155"/>
      <c r="M312" s="155"/>
      <c r="N312" s="155"/>
      <c r="O312" s="155"/>
      <c r="P312" s="155"/>
      <c r="Q312" s="155"/>
      <c r="R312" s="155"/>
      <c r="S312" s="155"/>
      <c r="T312" s="155"/>
      <c r="U312" s="155"/>
      <c r="V312" s="155"/>
      <c r="W312" s="155"/>
      <c r="X312" s="155"/>
      <c r="Y312" s="155"/>
      <c r="Z312" s="155"/>
      <c r="AA312" s="155"/>
      <c r="AB312" s="155"/>
      <c r="AC312" s="155"/>
      <c r="AD312" s="155"/>
    </row>
    <row r="313" spans="1:30">
      <c r="A313" s="151"/>
      <c r="B313" s="152"/>
      <c r="C313" s="153"/>
      <c r="D313" s="153"/>
      <c r="E313" s="153"/>
      <c r="F313" s="154"/>
      <c r="G313" s="152"/>
      <c r="H313" s="153"/>
      <c r="I313" s="155"/>
      <c r="J313" s="155"/>
      <c r="K313" s="155"/>
      <c r="L313" s="155"/>
      <c r="M313" s="155"/>
      <c r="N313" s="155"/>
      <c r="O313" s="155"/>
      <c r="P313" s="155"/>
      <c r="Q313" s="155"/>
      <c r="R313" s="155"/>
      <c r="S313" s="155"/>
      <c r="T313" s="155"/>
      <c r="U313" s="155"/>
      <c r="V313" s="155"/>
      <c r="W313" s="155"/>
      <c r="X313" s="155"/>
      <c r="Y313" s="155"/>
      <c r="Z313" s="155"/>
      <c r="AA313" s="155"/>
      <c r="AB313" s="155"/>
      <c r="AC313" s="155"/>
      <c r="AD313" s="155"/>
    </row>
    <row r="314" spans="1:30">
      <c r="A314" s="151"/>
      <c r="B314" s="152"/>
      <c r="C314" s="153"/>
      <c r="D314" s="153"/>
      <c r="E314" s="153"/>
      <c r="F314" s="154"/>
      <c r="G314" s="152"/>
      <c r="H314" s="153"/>
      <c r="I314" s="155"/>
      <c r="J314" s="155"/>
      <c r="K314" s="155"/>
      <c r="L314" s="155"/>
      <c r="M314" s="155"/>
      <c r="N314" s="155"/>
      <c r="O314" s="155"/>
      <c r="P314" s="155"/>
      <c r="Q314" s="155"/>
      <c r="R314" s="155"/>
      <c r="S314" s="155"/>
      <c r="T314" s="155"/>
      <c r="U314" s="155"/>
      <c r="V314" s="155"/>
      <c r="W314" s="155"/>
      <c r="X314" s="155"/>
      <c r="Y314" s="155"/>
      <c r="Z314" s="155"/>
      <c r="AA314" s="155"/>
      <c r="AB314" s="155"/>
      <c r="AC314" s="155"/>
      <c r="AD314" s="155"/>
    </row>
    <row r="315" spans="1:30">
      <c r="A315" s="151"/>
      <c r="B315" s="152"/>
      <c r="C315" s="153"/>
      <c r="D315" s="153"/>
      <c r="E315" s="153"/>
      <c r="F315" s="154"/>
      <c r="G315" s="152"/>
      <c r="H315" s="153"/>
      <c r="I315" s="155"/>
      <c r="J315" s="155"/>
      <c r="K315" s="155"/>
      <c r="L315" s="155"/>
      <c r="M315" s="155"/>
      <c r="N315" s="155"/>
      <c r="O315" s="155"/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5"/>
      <c r="AB315" s="155"/>
      <c r="AC315" s="155"/>
      <c r="AD315" s="155"/>
    </row>
    <row r="316" spans="1:30">
      <c r="A316" s="151"/>
      <c r="B316" s="152"/>
      <c r="C316" s="153"/>
      <c r="D316" s="153"/>
      <c r="E316" s="153"/>
      <c r="F316" s="154"/>
      <c r="G316" s="152"/>
      <c r="H316" s="153"/>
      <c r="I316" s="155"/>
      <c r="J316" s="155"/>
      <c r="K316" s="155"/>
      <c r="L316" s="155"/>
      <c r="M316" s="155"/>
      <c r="N316" s="155"/>
      <c r="O316" s="155"/>
      <c r="P316" s="155"/>
      <c r="Q316" s="155"/>
      <c r="R316" s="155"/>
      <c r="S316" s="155"/>
      <c r="T316" s="155"/>
      <c r="U316" s="155"/>
      <c r="V316" s="155"/>
      <c r="W316" s="155"/>
      <c r="X316" s="155"/>
      <c r="Y316" s="155"/>
      <c r="Z316" s="155"/>
      <c r="AA316" s="155"/>
      <c r="AB316" s="155"/>
      <c r="AC316" s="155"/>
      <c r="AD316" s="155"/>
    </row>
    <row r="317" spans="1:30">
      <c r="A317" s="151"/>
      <c r="B317" s="152"/>
      <c r="C317" s="153"/>
      <c r="D317" s="153"/>
      <c r="E317" s="153"/>
      <c r="F317" s="154"/>
      <c r="G317" s="152"/>
      <c r="H317" s="153"/>
      <c r="I317" s="155"/>
      <c r="J317" s="155"/>
      <c r="K317" s="155"/>
      <c r="L317" s="155"/>
      <c r="M317" s="155"/>
      <c r="N317" s="155"/>
      <c r="O317" s="155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5"/>
      <c r="AB317" s="155"/>
      <c r="AC317" s="155"/>
      <c r="AD317" s="155"/>
    </row>
    <row r="318" spans="1:30">
      <c r="A318" s="151"/>
      <c r="B318" s="152"/>
      <c r="C318" s="153"/>
      <c r="D318" s="153"/>
      <c r="E318" s="153"/>
      <c r="F318" s="154"/>
      <c r="G318" s="152"/>
      <c r="H318" s="153"/>
      <c r="I318" s="155"/>
      <c r="J318" s="155"/>
      <c r="K318" s="155"/>
      <c r="L318" s="155"/>
      <c r="M318" s="155"/>
      <c r="N318" s="155"/>
      <c r="O318" s="155"/>
      <c r="P318" s="155"/>
      <c r="Q318" s="155"/>
      <c r="R318" s="155"/>
      <c r="S318" s="155"/>
      <c r="T318" s="155"/>
      <c r="U318" s="155"/>
      <c r="V318" s="155"/>
      <c r="W318" s="155"/>
      <c r="X318" s="155"/>
      <c r="Y318" s="155"/>
      <c r="Z318" s="155"/>
      <c r="AA318" s="155"/>
      <c r="AB318" s="155"/>
      <c r="AC318" s="155"/>
      <c r="AD318" s="155"/>
    </row>
    <row r="319" spans="1:30">
      <c r="A319" s="151"/>
      <c r="B319" s="152"/>
      <c r="C319" s="153"/>
      <c r="D319" s="153"/>
      <c r="E319" s="153"/>
      <c r="F319" s="154"/>
      <c r="G319" s="152"/>
      <c r="H319" s="153"/>
      <c r="I319" s="155"/>
      <c r="J319" s="155"/>
      <c r="K319" s="155"/>
      <c r="L319" s="155"/>
      <c r="M319" s="155"/>
      <c r="N319" s="155"/>
      <c r="O319" s="155"/>
      <c r="P319" s="155"/>
      <c r="Q319" s="155"/>
      <c r="R319" s="155"/>
      <c r="S319" s="155"/>
      <c r="T319" s="155"/>
      <c r="U319" s="155"/>
      <c r="V319" s="155"/>
      <c r="W319" s="155"/>
      <c r="X319" s="155"/>
      <c r="Y319" s="155"/>
      <c r="Z319" s="155"/>
      <c r="AA319" s="155"/>
      <c r="AB319" s="155"/>
      <c r="AC319" s="155"/>
      <c r="AD319" s="155"/>
    </row>
    <row r="320" spans="1:30">
      <c r="A320" s="151"/>
      <c r="B320" s="152"/>
      <c r="C320" s="153"/>
      <c r="D320" s="153"/>
      <c r="E320" s="153"/>
      <c r="F320" s="154"/>
      <c r="G320" s="152"/>
      <c r="H320" s="153"/>
      <c r="I320" s="155"/>
      <c r="J320" s="155"/>
      <c r="K320" s="155"/>
      <c r="L320" s="155"/>
      <c r="M320" s="155"/>
      <c r="N320" s="155"/>
      <c r="O320" s="155"/>
      <c r="P320" s="155"/>
      <c r="Q320" s="155"/>
      <c r="R320" s="155"/>
      <c r="S320" s="155"/>
      <c r="T320" s="155"/>
      <c r="U320" s="155"/>
      <c r="V320" s="155"/>
      <c r="W320" s="155"/>
      <c r="X320" s="155"/>
      <c r="Y320" s="155"/>
      <c r="Z320" s="155"/>
      <c r="AA320" s="155"/>
      <c r="AB320" s="155"/>
      <c r="AC320" s="155"/>
      <c r="AD320" s="155"/>
    </row>
    <row r="321" spans="1:30">
      <c r="A321" s="151"/>
      <c r="B321" s="152"/>
      <c r="C321" s="153"/>
      <c r="D321" s="153"/>
      <c r="E321" s="153"/>
      <c r="F321" s="154"/>
      <c r="G321" s="152"/>
      <c r="H321" s="153"/>
      <c r="I321" s="155"/>
      <c r="J321" s="155"/>
      <c r="K321" s="155"/>
      <c r="L321" s="155"/>
      <c r="M321" s="155"/>
      <c r="N321" s="155"/>
      <c r="O321" s="155"/>
      <c r="P321" s="155"/>
      <c r="Q321" s="155"/>
      <c r="R321" s="155"/>
      <c r="S321" s="155"/>
      <c r="T321" s="155"/>
      <c r="U321" s="155"/>
      <c r="V321" s="155"/>
      <c r="W321" s="155"/>
      <c r="X321" s="155"/>
      <c r="Y321" s="155"/>
      <c r="Z321" s="155"/>
      <c r="AA321" s="155"/>
      <c r="AB321" s="155"/>
      <c r="AC321" s="155"/>
      <c r="AD321" s="155"/>
    </row>
    <row r="322" spans="1:30">
      <c r="A322" s="151"/>
      <c r="B322" s="152"/>
      <c r="C322" s="153"/>
      <c r="D322" s="153"/>
      <c r="E322" s="153"/>
      <c r="F322" s="154"/>
      <c r="G322" s="152"/>
      <c r="H322" s="153"/>
      <c r="I322" s="155"/>
      <c r="J322" s="155"/>
      <c r="K322" s="155"/>
      <c r="L322" s="155"/>
      <c r="M322" s="155"/>
      <c r="N322" s="155"/>
      <c r="O322" s="155"/>
      <c r="P322" s="155"/>
      <c r="Q322" s="155"/>
      <c r="R322" s="155"/>
      <c r="S322" s="155"/>
      <c r="T322" s="155"/>
      <c r="U322" s="155"/>
      <c r="V322" s="155"/>
      <c r="W322" s="155"/>
      <c r="X322" s="155"/>
      <c r="Y322" s="155"/>
      <c r="Z322" s="155"/>
      <c r="AA322" s="155"/>
      <c r="AB322" s="155"/>
      <c r="AC322" s="155"/>
      <c r="AD322" s="155"/>
    </row>
    <row r="323" spans="1:30">
      <c r="A323" s="151"/>
      <c r="B323" s="152"/>
      <c r="C323" s="153"/>
      <c r="D323" s="153"/>
      <c r="E323" s="153"/>
      <c r="F323" s="154"/>
      <c r="G323" s="152"/>
      <c r="H323" s="153"/>
      <c r="I323" s="155"/>
      <c r="J323" s="155"/>
      <c r="K323" s="155"/>
      <c r="L323" s="155"/>
      <c r="M323" s="155"/>
      <c r="N323" s="155"/>
      <c r="O323" s="155"/>
      <c r="P323" s="155"/>
      <c r="Q323" s="155"/>
      <c r="R323" s="155"/>
      <c r="S323" s="155"/>
      <c r="T323" s="155"/>
      <c r="U323" s="155"/>
      <c r="V323" s="155"/>
      <c r="W323" s="155"/>
      <c r="X323" s="155"/>
      <c r="Y323" s="155"/>
      <c r="Z323" s="155"/>
      <c r="AA323" s="155"/>
      <c r="AB323" s="155"/>
      <c r="AC323" s="155"/>
      <c r="AD323" s="155"/>
    </row>
    <row r="324" spans="1:30">
      <c r="A324" s="151"/>
      <c r="B324" s="152"/>
      <c r="C324" s="153"/>
      <c r="D324" s="153"/>
      <c r="E324" s="153"/>
      <c r="F324" s="154"/>
      <c r="G324" s="152"/>
      <c r="H324" s="153"/>
      <c r="I324" s="155"/>
      <c r="J324" s="155"/>
      <c r="K324" s="155"/>
      <c r="L324" s="155"/>
      <c r="M324" s="155"/>
      <c r="N324" s="155"/>
      <c r="O324" s="155"/>
      <c r="P324" s="155"/>
      <c r="Q324" s="155"/>
      <c r="R324" s="155"/>
      <c r="S324" s="155"/>
      <c r="T324" s="155"/>
      <c r="U324" s="155"/>
      <c r="V324" s="155"/>
      <c r="W324" s="155"/>
      <c r="X324" s="155"/>
      <c r="Y324" s="155"/>
      <c r="Z324" s="155"/>
      <c r="AA324" s="155"/>
      <c r="AB324" s="155"/>
      <c r="AC324" s="155"/>
      <c r="AD324" s="155"/>
    </row>
    <row r="325" spans="1:30">
      <c r="A325" s="151"/>
      <c r="B325" s="152"/>
      <c r="C325" s="153"/>
      <c r="D325" s="153"/>
      <c r="E325" s="153"/>
      <c r="F325" s="154"/>
      <c r="G325" s="152"/>
      <c r="H325" s="153"/>
      <c r="I325" s="155"/>
      <c r="J325" s="155"/>
      <c r="K325" s="155"/>
      <c r="L325" s="155"/>
      <c r="M325" s="155"/>
      <c r="N325" s="155"/>
      <c r="O325" s="155"/>
      <c r="P325" s="155"/>
      <c r="Q325" s="155"/>
      <c r="R325" s="155"/>
      <c r="S325" s="155"/>
      <c r="T325" s="155"/>
      <c r="U325" s="155"/>
      <c r="V325" s="155"/>
      <c r="W325" s="155"/>
      <c r="X325" s="155"/>
      <c r="Y325" s="155"/>
      <c r="Z325" s="155"/>
      <c r="AA325" s="155"/>
      <c r="AB325" s="155"/>
      <c r="AC325" s="155"/>
      <c r="AD325" s="155"/>
    </row>
    <row r="326" spans="1:30">
      <c r="A326" s="151"/>
      <c r="B326" s="152"/>
      <c r="C326" s="153"/>
      <c r="D326" s="153"/>
      <c r="E326" s="153"/>
      <c r="F326" s="154"/>
      <c r="G326" s="152"/>
      <c r="H326" s="153"/>
      <c r="I326" s="155"/>
      <c r="J326" s="155"/>
      <c r="K326" s="155"/>
      <c r="L326" s="155"/>
      <c r="M326" s="155"/>
      <c r="N326" s="155"/>
      <c r="O326" s="155"/>
      <c r="P326" s="155"/>
      <c r="Q326" s="155"/>
      <c r="R326" s="155"/>
      <c r="S326" s="155"/>
      <c r="T326" s="155"/>
      <c r="U326" s="155"/>
      <c r="V326" s="155"/>
      <c r="W326" s="155"/>
      <c r="X326" s="155"/>
      <c r="Y326" s="155"/>
      <c r="Z326" s="155"/>
      <c r="AA326" s="155"/>
      <c r="AB326" s="155"/>
      <c r="AC326" s="155"/>
      <c r="AD326" s="155"/>
    </row>
    <row r="327" spans="1:30">
      <c r="A327" s="151"/>
      <c r="B327" s="152"/>
      <c r="C327" s="153"/>
      <c r="D327" s="153"/>
      <c r="E327" s="153"/>
      <c r="F327" s="154"/>
      <c r="G327" s="152"/>
      <c r="H327" s="153"/>
      <c r="I327" s="155"/>
      <c r="J327" s="155"/>
      <c r="K327" s="155"/>
      <c r="L327" s="155"/>
      <c r="M327" s="155"/>
      <c r="N327" s="155"/>
      <c r="O327" s="155"/>
      <c r="P327" s="155"/>
      <c r="Q327" s="155"/>
      <c r="R327" s="155"/>
      <c r="S327" s="155"/>
      <c r="T327" s="155"/>
      <c r="U327" s="155"/>
      <c r="V327" s="155"/>
      <c r="W327" s="155"/>
      <c r="X327" s="155"/>
      <c r="Y327" s="155"/>
      <c r="Z327" s="155"/>
      <c r="AA327" s="155"/>
      <c r="AB327" s="155"/>
      <c r="AC327" s="155"/>
      <c r="AD327" s="155"/>
    </row>
    <row r="328" spans="1:30">
      <c r="A328" s="151"/>
      <c r="B328" s="152"/>
      <c r="C328" s="153"/>
      <c r="D328" s="153"/>
      <c r="E328" s="153"/>
      <c r="F328" s="154"/>
      <c r="G328" s="152"/>
      <c r="H328" s="153"/>
      <c r="I328" s="155"/>
      <c r="J328" s="155"/>
      <c r="K328" s="155"/>
      <c r="L328" s="155"/>
      <c r="M328" s="155"/>
      <c r="N328" s="155"/>
      <c r="O328" s="155"/>
      <c r="P328" s="155"/>
      <c r="Q328" s="155"/>
      <c r="R328" s="155"/>
      <c r="S328" s="155"/>
      <c r="T328" s="155"/>
      <c r="U328" s="155"/>
      <c r="V328" s="155"/>
      <c r="W328" s="155"/>
      <c r="X328" s="155"/>
      <c r="Y328" s="155"/>
      <c r="Z328" s="155"/>
      <c r="AA328" s="155"/>
      <c r="AB328" s="155"/>
      <c r="AC328" s="155"/>
      <c r="AD328" s="155"/>
    </row>
    <row r="329" spans="1:30">
      <c r="A329" s="151"/>
      <c r="B329" s="152"/>
      <c r="C329" s="153"/>
      <c r="D329" s="153"/>
      <c r="E329" s="153"/>
      <c r="F329" s="154"/>
      <c r="G329" s="152"/>
      <c r="H329" s="153"/>
      <c r="I329" s="155"/>
      <c r="J329" s="155"/>
      <c r="K329" s="155"/>
      <c r="L329" s="155"/>
      <c r="M329" s="155"/>
      <c r="N329" s="155"/>
      <c r="O329" s="155"/>
      <c r="P329" s="155"/>
      <c r="Q329" s="155"/>
      <c r="R329" s="155"/>
      <c r="S329" s="155"/>
      <c r="T329" s="155"/>
      <c r="U329" s="155"/>
      <c r="V329" s="155"/>
      <c r="W329" s="155"/>
      <c r="X329" s="155"/>
      <c r="Y329" s="155"/>
      <c r="Z329" s="155"/>
      <c r="AA329" s="155"/>
      <c r="AB329" s="155"/>
      <c r="AC329" s="155"/>
      <c r="AD329" s="155"/>
    </row>
    <row r="330" spans="1:30">
      <c r="A330" s="151"/>
      <c r="B330" s="152"/>
      <c r="C330" s="153"/>
      <c r="D330" s="153"/>
      <c r="E330" s="153"/>
      <c r="F330" s="154"/>
      <c r="G330" s="152"/>
      <c r="H330" s="153"/>
      <c r="I330" s="155"/>
      <c r="J330" s="155"/>
      <c r="K330" s="155"/>
      <c r="L330" s="155"/>
      <c r="M330" s="155"/>
      <c r="N330" s="155"/>
      <c r="O330" s="155"/>
      <c r="P330" s="155"/>
      <c r="Q330" s="155"/>
      <c r="R330" s="155"/>
      <c r="S330" s="155"/>
      <c r="T330" s="155"/>
      <c r="U330" s="155"/>
      <c r="V330" s="155"/>
      <c r="W330" s="155"/>
      <c r="X330" s="155"/>
      <c r="Y330" s="155"/>
      <c r="Z330" s="155"/>
      <c r="AA330" s="155"/>
      <c r="AB330" s="155"/>
      <c r="AC330" s="155"/>
      <c r="AD330" s="155"/>
    </row>
    <row r="331" spans="1:30">
      <c r="A331" s="151"/>
      <c r="B331" s="152"/>
      <c r="C331" s="153"/>
      <c r="D331" s="153"/>
      <c r="E331" s="153"/>
      <c r="F331" s="154"/>
      <c r="G331" s="152"/>
      <c r="H331" s="153"/>
      <c r="I331" s="155"/>
      <c r="J331" s="155"/>
      <c r="K331" s="155"/>
      <c r="L331" s="155"/>
      <c r="M331" s="155"/>
      <c r="N331" s="155"/>
      <c r="O331" s="155"/>
      <c r="P331" s="155"/>
      <c r="Q331" s="155"/>
      <c r="R331" s="155"/>
      <c r="S331" s="155"/>
      <c r="T331" s="155"/>
      <c r="U331" s="155"/>
      <c r="V331" s="155"/>
      <c r="W331" s="155"/>
      <c r="X331" s="155"/>
      <c r="Y331" s="155"/>
      <c r="Z331" s="155"/>
      <c r="AA331" s="155"/>
      <c r="AB331" s="155"/>
      <c r="AC331" s="155"/>
      <c r="AD331" s="155"/>
    </row>
    <row r="332" spans="1:30">
      <c r="A332" s="151"/>
      <c r="B332" s="152"/>
      <c r="C332" s="153"/>
      <c r="D332" s="153"/>
      <c r="E332" s="153"/>
      <c r="F332" s="154"/>
      <c r="G332" s="152"/>
      <c r="H332" s="153"/>
      <c r="I332" s="155"/>
      <c r="J332" s="155"/>
      <c r="K332" s="155"/>
      <c r="L332" s="155"/>
      <c r="M332" s="155"/>
      <c r="N332" s="155"/>
      <c r="O332" s="155"/>
      <c r="P332" s="155"/>
      <c r="Q332" s="155"/>
      <c r="R332" s="155"/>
      <c r="S332" s="155"/>
      <c r="T332" s="155"/>
      <c r="U332" s="155"/>
      <c r="V332" s="155"/>
      <c r="W332" s="155"/>
      <c r="X332" s="155"/>
      <c r="Y332" s="155"/>
      <c r="Z332" s="155"/>
      <c r="AA332" s="155"/>
      <c r="AB332" s="155"/>
      <c r="AC332" s="155"/>
      <c r="AD332" s="155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68899-4962-477E-A928-AD0C232FF44C}">
  <dimension ref="B2:J275"/>
  <sheetViews>
    <sheetView workbookViewId="0">
      <selection activeCell="I16" sqref="I16"/>
    </sheetView>
  </sheetViews>
  <sheetFormatPr defaultColWidth="8.19921875" defaultRowHeight="13.2"/>
  <cols>
    <col min="1" max="1" width="2.59765625" style="223" customWidth="1"/>
    <col min="2" max="2" width="11.09765625" style="223" bestFit="1" customWidth="1"/>
    <col min="3" max="3" width="14.09765625" style="223" bestFit="1" customWidth="1"/>
    <col min="4" max="5" width="10" style="223" bestFit="1" customWidth="1"/>
    <col min="6" max="6" width="9" style="223" bestFit="1" customWidth="1"/>
    <col min="7" max="8" width="8.19921875" style="223"/>
    <col min="9" max="9" width="32.5" style="223" customWidth="1"/>
    <col min="10" max="10" width="13.59765625" style="223" bestFit="1" customWidth="1"/>
    <col min="11" max="16384" width="8.19921875" style="223"/>
  </cols>
  <sheetData>
    <row r="2" spans="2:10" s="219" customFormat="1" ht="39.6">
      <c r="B2" s="218" t="s">
        <v>18</v>
      </c>
      <c r="C2" s="218" t="s">
        <v>147</v>
      </c>
      <c r="D2" s="218" t="s">
        <v>148</v>
      </c>
      <c r="E2" s="218" t="s">
        <v>149</v>
      </c>
      <c r="F2" s="218" t="s">
        <v>150</v>
      </c>
    </row>
    <row r="3" spans="2:10">
      <c r="B3" s="220">
        <v>44866</v>
      </c>
      <c r="C3" s="221">
        <v>52463.943500000016</v>
      </c>
      <c r="D3" s="221">
        <v>51.142981874999997</v>
      </c>
      <c r="E3" s="221">
        <v>37.87810708333334</v>
      </c>
      <c r="F3" s="221">
        <v>0.42664738125000007</v>
      </c>
      <c r="G3" s="222"/>
    </row>
    <row r="4" spans="2:10">
      <c r="B4" s="220">
        <v>44867</v>
      </c>
      <c r="C4" s="221">
        <v>49433.147350000007</v>
      </c>
      <c r="D4" s="221">
        <v>51.056709791666655</v>
      </c>
      <c r="E4" s="221">
        <v>37.80839000000001</v>
      </c>
      <c r="F4" s="221">
        <v>0.45435650208333339</v>
      </c>
      <c r="G4" s="222"/>
      <c r="J4" s="224"/>
    </row>
    <row r="5" spans="2:10">
      <c r="B5" s="220">
        <v>44868</v>
      </c>
      <c r="C5" s="221">
        <v>51110.830000000009</v>
      </c>
      <c r="D5" s="221">
        <v>51.098208333333353</v>
      </c>
      <c r="E5" s="221">
        <v>37.790194791666657</v>
      </c>
      <c r="F5" s="221">
        <v>0.3947776479166667</v>
      </c>
      <c r="G5" s="222"/>
      <c r="J5" s="224"/>
    </row>
    <row r="6" spans="2:10">
      <c r="B6" s="220">
        <v>44869</v>
      </c>
      <c r="C6" s="221">
        <v>52236.188499999997</v>
      </c>
      <c r="D6" s="221">
        <v>51.170996875000007</v>
      </c>
      <c r="E6" s="221">
        <v>37.842440208333343</v>
      </c>
      <c r="F6" s="221">
        <v>0.72444670208333317</v>
      </c>
      <c r="G6" s="222"/>
    </row>
    <row r="7" spans="2:10">
      <c r="B7" s="220">
        <v>44870</v>
      </c>
      <c r="C7" s="221">
        <v>51555.458999999995</v>
      </c>
      <c r="D7" s="221">
        <v>51.109116458333325</v>
      </c>
      <c r="E7" s="221">
        <v>37.849740624999988</v>
      </c>
      <c r="F7" s="221">
        <v>0.43148696666666658</v>
      </c>
      <c r="G7" s="222"/>
    </row>
    <row r="8" spans="2:10">
      <c r="B8" s="220">
        <v>44871</v>
      </c>
      <c r="C8" s="221">
        <v>51844.595999999998</v>
      </c>
      <c r="D8" s="221">
        <v>51.147991249999997</v>
      </c>
      <c r="E8" s="221">
        <v>37.855569375000002</v>
      </c>
      <c r="F8" s="221">
        <v>0.43331122916666659</v>
      </c>
      <c r="G8" s="222"/>
    </row>
    <row r="9" spans="2:10">
      <c r="B9" s="220">
        <v>44872</v>
      </c>
      <c r="C9" s="221">
        <v>51938.441000000006</v>
      </c>
      <c r="D9" s="221">
        <v>51.219923125000001</v>
      </c>
      <c r="E9" s="221">
        <v>37.917618958333328</v>
      </c>
      <c r="F9" s="221">
        <v>0.38948376458333334</v>
      </c>
      <c r="G9" s="222"/>
    </row>
    <row r="10" spans="2:10">
      <c r="B10" s="220">
        <v>44873</v>
      </c>
      <c r="C10" s="221">
        <v>48854.746249999967</v>
      </c>
      <c r="D10" s="221">
        <v>51.144838958333331</v>
      </c>
      <c r="E10" s="221">
        <v>37.818786875000001</v>
      </c>
      <c r="F10" s="221">
        <v>0.39203621875</v>
      </c>
      <c r="G10" s="222"/>
    </row>
    <row r="11" spans="2:10">
      <c r="B11" s="220">
        <v>44874</v>
      </c>
      <c r="C11" s="221">
        <v>51834.378000000004</v>
      </c>
      <c r="D11" s="221">
        <v>51.163534166666672</v>
      </c>
      <c r="E11" s="221">
        <v>37.819405416666662</v>
      </c>
      <c r="F11" s="221">
        <v>0.41061392708333333</v>
      </c>
      <c r="G11" s="222"/>
    </row>
    <row r="12" spans="2:10">
      <c r="B12" s="220">
        <v>44875</v>
      </c>
      <c r="C12" s="221">
        <v>49577.58939999999</v>
      </c>
      <c r="D12" s="221">
        <v>51.184444375000005</v>
      </c>
      <c r="E12" s="221">
        <v>37.787482708333343</v>
      </c>
      <c r="F12" s="221">
        <v>0.4023986416666665</v>
      </c>
      <c r="G12" s="222"/>
    </row>
    <row r="13" spans="2:10">
      <c r="B13" s="220">
        <v>44876</v>
      </c>
      <c r="C13" s="221">
        <v>49313.909699999997</v>
      </c>
      <c r="D13" s="221">
        <v>51.21231979166668</v>
      </c>
      <c r="E13" s="221">
        <v>37.818301041666679</v>
      </c>
      <c r="F13" s="221">
        <v>0.4247384062500002</v>
      </c>
      <c r="G13" s="222"/>
    </row>
    <row r="14" spans="2:10">
      <c r="B14" s="220">
        <v>44877</v>
      </c>
      <c r="C14" s="221">
        <v>49233.5075</v>
      </c>
      <c r="D14" s="221">
        <v>51.049707291666664</v>
      </c>
      <c r="E14" s="221">
        <v>37.854320416666674</v>
      </c>
      <c r="F14" s="221">
        <v>0.43636942916666671</v>
      </c>
      <c r="G14" s="222"/>
    </row>
    <row r="15" spans="2:10">
      <c r="B15" s="220">
        <v>44878</v>
      </c>
      <c r="C15" s="221">
        <v>50474.002500000002</v>
      </c>
      <c r="D15" s="221">
        <v>51.210450208333327</v>
      </c>
      <c r="E15" s="221">
        <v>37.799927916666675</v>
      </c>
      <c r="F15" s="221">
        <v>0.41087496458333334</v>
      </c>
      <c r="G15" s="222"/>
    </row>
    <row r="16" spans="2:10">
      <c r="B16" s="220">
        <v>44879</v>
      </c>
      <c r="C16" s="221">
        <v>50669.220499999996</v>
      </c>
      <c r="D16" s="221">
        <v>51.119881666666679</v>
      </c>
      <c r="E16" s="221">
        <v>37.901060208333334</v>
      </c>
      <c r="F16" s="221">
        <v>0.37315502708333348</v>
      </c>
      <c r="G16" s="222"/>
    </row>
    <row r="17" spans="2:7">
      <c r="B17" s="220">
        <v>44880</v>
      </c>
      <c r="C17" s="221">
        <v>50265.605500000005</v>
      </c>
      <c r="D17" s="221">
        <v>51.212755624999978</v>
      </c>
      <c r="E17" s="221">
        <v>37.826364166666657</v>
      </c>
      <c r="F17" s="221">
        <v>0.36451208750000008</v>
      </c>
      <c r="G17" s="222"/>
    </row>
    <row r="18" spans="2:7">
      <c r="B18" s="220">
        <v>44881</v>
      </c>
      <c r="C18" s="221">
        <v>50679.9205</v>
      </c>
      <c r="D18" s="221">
        <v>51.142402291666663</v>
      </c>
      <c r="E18" s="221">
        <v>37.725807291666669</v>
      </c>
      <c r="F18" s="221">
        <v>0.40100270208333327</v>
      </c>
      <c r="G18" s="222"/>
    </row>
    <row r="19" spans="2:7">
      <c r="B19" s="220">
        <v>44882</v>
      </c>
      <c r="C19" s="221">
        <v>50193.531499999997</v>
      </c>
      <c r="D19" s="221">
        <v>51.145840416666658</v>
      </c>
      <c r="E19" s="221">
        <v>37.780021249999997</v>
      </c>
      <c r="F19" s="221">
        <v>0.2826249833333333</v>
      </c>
      <c r="G19" s="222"/>
    </row>
    <row r="20" spans="2:7">
      <c r="B20" s="220">
        <v>44883</v>
      </c>
      <c r="C20" s="221">
        <v>50868.140500000001</v>
      </c>
      <c r="D20" s="221">
        <v>51.11414187499998</v>
      </c>
      <c r="E20" s="221">
        <v>37.809903333333324</v>
      </c>
      <c r="F20" s="221">
        <v>0.288747351875</v>
      </c>
      <c r="G20" s="222"/>
    </row>
    <row r="21" spans="2:7">
      <c r="B21" s="220">
        <v>44884</v>
      </c>
      <c r="C21" s="221">
        <v>49304.357000000011</v>
      </c>
      <c r="D21" s="221">
        <v>51.096977083333343</v>
      </c>
      <c r="E21" s="221">
        <v>37.775861666666664</v>
      </c>
      <c r="F21" s="221">
        <v>0.30297166958333344</v>
      </c>
      <c r="G21" s="222"/>
    </row>
    <row r="22" spans="2:7">
      <c r="B22" s="220">
        <v>44885</v>
      </c>
      <c r="C22" s="221">
        <v>49526.972500000003</v>
      </c>
      <c r="D22" s="221">
        <v>51.104657291666683</v>
      </c>
      <c r="E22" s="221">
        <v>37.805342499999988</v>
      </c>
      <c r="F22" s="221">
        <v>0.27999992166666671</v>
      </c>
      <c r="G22" s="222"/>
    </row>
    <row r="23" spans="2:7">
      <c r="B23" s="220">
        <v>44886</v>
      </c>
      <c r="C23" s="221">
        <v>45669.788</v>
      </c>
      <c r="D23" s="221">
        <v>51.170285</v>
      </c>
      <c r="E23" s="221">
        <v>37.801868124999999</v>
      </c>
      <c r="F23" s="221">
        <v>0.26524827854166672</v>
      </c>
      <c r="G23" s="222"/>
    </row>
    <row r="24" spans="2:7">
      <c r="B24" s="220">
        <v>44887</v>
      </c>
      <c r="C24" s="221">
        <v>44025.156449999988</v>
      </c>
      <c r="D24" s="221">
        <v>51.19246020833333</v>
      </c>
      <c r="E24" s="221">
        <v>37.772885625000008</v>
      </c>
      <c r="F24" s="221">
        <v>0.20834916312499999</v>
      </c>
      <c r="G24" s="222"/>
    </row>
    <row r="25" spans="2:7">
      <c r="B25" s="220">
        <v>44888</v>
      </c>
      <c r="C25" s="221">
        <v>49936.792499999996</v>
      </c>
      <c r="D25" s="221">
        <v>51.144332916666663</v>
      </c>
      <c r="E25" s="221">
        <v>37.764665000000001</v>
      </c>
      <c r="F25" s="221">
        <v>0.19999739708333339</v>
      </c>
      <c r="G25" s="222"/>
    </row>
    <row r="26" spans="2:7">
      <c r="B26" s="220">
        <v>44889</v>
      </c>
      <c r="C26" s="221">
        <v>47867.795400000003</v>
      </c>
      <c r="D26" s="221">
        <v>51.087740625000002</v>
      </c>
      <c r="E26" s="221">
        <v>37.790026666666662</v>
      </c>
      <c r="F26" s="221">
        <v>0.22440917999999999</v>
      </c>
      <c r="G26" s="222"/>
    </row>
    <row r="27" spans="2:7">
      <c r="B27" s="220">
        <v>44890</v>
      </c>
      <c r="C27" s="221">
        <v>48599.861999999986</v>
      </c>
      <c r="D27" s="221">
        <v>51.084515000000003</v>
      </c>
      <c r="E27" s="221">
        <v>37.817817291666657</v>
      </c>
      <c r="F27" s="221">
        <v>0.20321392520833334</v>
      </c>
      <c r="G27" s="222"/>
    </row>
    <row r="28" spans="2:7">
      <c r="B28" s="220">
        <v>44891</v>
      </c>
      <c r="C28" s="221">
        <v>50004.316499999986</v>
      </c>
      <c r="D28" s="221">
        <v>51.007651249999988</v>
      </c>
      <c r="E28" s="221">
        <v>37.901683541666671</v>
      </c>
      <c r="F28" s="221">
        <v>0.2078465535416667</v>
      </c>
      <c r="G28" s="222"/>
    </row>
    <row r="29" spans="2:7">
      <c r="B29" s="220">
        <v>44892</v>
      </c>
      <c r="C29" s="221">
        <v>50090.700499999992</v>
      </c>
      <c r="D29" s="221">
        <v>51.10858145833334</v>
      </c>
      <c r="E29" s="221">
        <v>37.772177291666658</v>
      </c>
      <c r="F29" s="221">
        <v>0.2184645783333333</v>
      </c>
      <c r="G29" s="222"/>
    </row>
    <row r="30" spans="2:7">
      <c r="B30" s="220">
        <v>44893</v>
      </c>
      <c r="C30" s="221">
        <v>50035.455499999996</v>
      </c>
      <c r="D30" s="221">
        <v>51.110877916666659</v>
      </c>
      <c r="E30" s="221">
        <v>37.844618333333337</v>
      </c>
      <c r="F30" s="221">
        <v>0.19412138812499999</v>
      </c>
      <c r="G30" s="222"/>
    </row>
    <row r="31" spans="2:7">
      <c r="B31" s="220">
        <v>44894</v>
      </c>
      <c r="C31" s="221">
        <v>49942.557500000017</v>
      </c>
      <c r="D31" s="221">
        <v>51.061498541666658</v>
      </c>
      <c r="E31" s="221">
        <v>37.797396041666666</v>
      </c>
      <c r="F31" s="221">
        <v>0.19255082937499998</v>
      </c>
      <c r="G31" s="222"/>
    </row>
    <row r="32" spans="2:7">
      <c r="B32" s="220">
        <v>44895</v>
      </c>
      <c r="C32" s="221">
        <v>49262.2575</v>
      </c>
      <c r="D32" s="221">
        <v>51.143090833333353</v>
      </c>
      <c r="E32" s="221">
        <v>37.803905416666645</v>
      </c>
      <c r="F32" s="221">
        <v>0.37691559375</v>
      </c>
      <c r="G32" s="222"/>
    </row>
    <row r="33" spans="2:7">
      <c r="B33" s="220">
        <v>44896</v>
      </c>
      <c r="C33" s="221">
        <v>49370.840999999979</v>
      </c>
      <c r="D33" s="221">
        <v>50.827848333333314</v>
      </c>
      <c r="E33" s="221">
        <v>37.317731666666667</v>
      </c>
      <c r="F33" s="221">
        <v>0.28660318541666663</v>
      </c>
      <c r="G33" s="222"/>
    </row>
    <row r="34" spans="2:7">
      <c r="B34" s="220">
        <v>44897</v>
      </c>
      <c r="C34" s="221">
        <v>48967.253499999999</v>
      </c>
      <c r="D34" s="221">
        <v>50.775721249999997</v>
      </c>
      <c r="E34" s="221">
        <v>37.242402916666656</v>
      </c>
      <c r="F34" s="221">
        <v>0.19672269104166673</v>
      </c>
      <c r="G34" s="222"/>
    </row>
    <row r="35" spans="2:7">
      <c r="B35" s="220">
        <v>44898</v>
      </c>
      <c r="C35" s="221">
        <v>48376.882999999994</v>
      </c>
      <c r="D35" s="221">
        <v>50.723778541666661</v>
      </c>
      <c r="E35" s="221">
        <v>37.344117916666661</v>
      </c>
      <c r="F35" s="221">
        <v>0.2269215675</v>
      </c>
      <c r="G35" s="222"/>
    </row>
    <row r="36" spans="2:7">
      <c r="B36" s="220">
        <v>44899</v>
      </c>
      <c r="C36" s="221">
        <v>48944.296499999997</v>
      </c>
      <c r="D36" s="221">
        <v>50.831761249999992</v>
      </c>
      <c r="E36" s="221">
        <v>37.335448541666658</v>
      </c>
      <c r="F36" s="221">
        <v>0.18907800416666665</v>
      </c>
      <c r="G36" s="222"/>
    </row>
    <row r="37" spans="2:7">
      <c r="B37" s="220">
        <v>44900</v>
      </c>
      <c r="C37" s="221">
        <v>48479.585999999988</v>
      </c>
      <c r="D37" s="221">
        <v>50.894965833333337</v>
      </c>
      <c r="E37" s="221">
        <v>37.277375625000005</v>
      </c>
      <c r="F37" s="221">
        <v>0.20758162708333336</v>
      </c>
      <c r="G37" s="222"/>
    </row>
    <row r="38" spans="2:7">
      <c r="B38" s="220">
        <v>44901</v>
      </c>
      <c r="C38" s="221">
        <v>48361.874499999998</v>
      </c>
      <c r="D38" s="221">
        <v>50.878920000000022</v>
      </c>
      <c r="E38" s="221">
        <v>37.296646250000002</v>
      </c>
      <c r="F38" s="221">
        <v>0.20521831104166663</v>
      </c>
      <c r="G38" s="222"/>
    </row>
    <row r="39" spans="2:7">
      <c r="B39" s="220">
        <v>44902</v>
      </c>
      <c r="C39" s="221">
        <v>48310.389999999992</v>
      </c>
      <c r="D39" s="221">
        <v>50.850592916666677</v>
      </c>
      <c r="E39" s="221">
        <v>37.316472708333343</v>
      </c>
      <c r="F39" s="221">
        <v>0.17679963041666666</v>
      </c>
      <c r="G39" s="222"/>
    </row>
    <row r="40" spans="2:7">
      <c r="B40" s="220">
        <v>44903</v>
      </c>
      <c r="C40" s="221">
        <v>47990.453499999981</v>
      </c>
      <c r="D40" s="221">
        <v>50.849315624999996</v>
      </c>
      <c r="E40" s="221">
        <v>37.319826249999991</v>
      </c>
      <c r="F40" s="221">
        <v>0.17527730374999995</v>
      </c>
      <c r="G40" s="222"/>
    </row>
    <row r="41" spans="2:7">
      <c r="B41" s="220">
        <v>44904</v>
      </c>
      <c r="C41" s="221">
        <v>46871.729500000016</v>
      </c>
      <c r="D41" s="221">
        <v>50.734913749999997</v>
      </c>
      <c r="E41" s="221">
        <v>37.343733958333353</v>
      </c>
      <c r="F41" s="221">
        <v>0.17116658749999999</v>
      </c>
      <c r="G41" s="222"/>
    </row>
    <row r="42" spans="2:7">
      <c r="B42" s="220">
        <v>44905</v>
      </c>
      <c r="C42" s="221">
        <v>48723.758499999989</v>
      </c>
      <c r="D42" s="221">
        <v>50.798766041666674</v>
      </c>
      <c r="E42" s="221">
        <v>37.310418124999998</v>
      </c>
      <c r="F42" s="221">
        <v>0.17837225041666668</v>
      </c>
      <c r="G42" s="222"/>
    </row>
    <row r="43" spans="2:7">
      <c r="B43" s="220">
        <v>44906</v>
      </c>
      <c r="C43" s="221">
        <v>48608.135000000002</v>
      </c>
      <c r="D43" s="221">
        <v>50.864400208333336</v>
      </c>
      <c r="E43" s="221">
        <v>37.307493750000006</v>
      </c>
      <c r="F43" s="221">
        <v>0.18818492374999998</v>
      </c>
      <c r="G43" s="222"/>
    </row>
    <row r="44" spans="2:7">
      <c r="B44" s="220">
        <v>44907</v>
      </c>
      <c r="C44" s="221">
        <v>48826.728500000005</v>
      </c>
      <c r="D44" s="221">
        <v>50.82986979166666</v>
      </c>
      <c r="E44" s="221">
        <v>37.239965833333343</v>
      </c>
      <c r="F44" s="221">
        <v>0.21551146416666664</v>
      </c>
      <c r="G44" s="222"/>
    </row>
    <row r="45" spans="2:7">
      <c r="B45" s="220">
        <v>44908</v>
      </c>
      <c r="C45" s="221">
        <v>48794.684500000018</v>
      </c>
      <c r="D45" s="221">
        <v>50.813539374999984</v>
      </c>
      <c r="E45" s="221">
        <v>37.312303541666665</v>
      </c>
      <c r="F45" s="221">
        <v>0.18479837374999999</v>
      </c>
      <c r="G45" s="222"/>
    </row>
    <row r="46" spans="2:7">
      <c r="B46" s="220">
        <v>44909</v>
      </c>
      <c r="C46" s="221">
        <v>46758.866849999991</v>
      </c>
      <c r="D46" s="221">
        <v>50.839413750000006</v>
      </c>
      <c r="E46" s="221">
        <v>37.246542291666664</v>
      </c>
      <c r="F46" s="221">
        <v>0.17274086187500001</v>
      </c>
      <c r="G46" s="222"/>
    </row>
    <row r="47" spans="2:7">
      <c r="B47" s="220">
        <v>44910</v>
      </c>
      <c r="C47" s="221">
        <v>48796.501499999991</v>
      </c>
      <c r="D47" s="221">
        <v>50.834430416666656</v>
      </c>
      <c r="E47" s="221">
        <v>37.299599791666658</v>
      </c>
      <c r="F47" s="221">
        <v>0.239289183125</v>
      </c>
      <c r="G47" s="222"/>
    </row>
    <row r="48" spans="2:7">
      <c r="B48" s="220">
        <v>44911</v>
      </c>
      <c r="C48" s="221">
        <v>48676.539999999994</v>
      </c>
      <c r="D48" s="221">
        <v>50.824477083333328</v>
      </c>
      <c r="E48" s="221">
        <v>37.254606666666668</v>
      </c>
      <c r="F48" s="221">
        <v>0.17704100187500002</v>
      </c>
      <c r="G48" s="222"/>
    </row>
    <row r="49" spans="2:7">
      <c r="B49" s="220">
        <v>44912</v>
      </c>
      <c r="C49" s="221">
        <v>48959.383999999984</v>
      </c>
      <c r="D49" s="221">
        <v>50.85204833333335</v>
      </c>
      <c r="E49" s="221">
        <v>37.274318749999992</v>
      </c>
      <c r="F49" s="221">
        <v>0.20193870666666661</v>
      </c>
      <c r="G49" s="222"/>
    </row>
    <row r="50" spans="2:7">
      <c r="B50" s="220">
        <v>44913</v>
      </c>
      <c r="C50" s="221">
        <v>48848.084500000004</v>
      </c>
      <c r="D50" s="221">
        <v>50.71469458333334</v>
      </c>
      <c r="E50" s="221">
        <v>37.252545208333331</v>
      </c>
      <c r="F50" s="221">
        <v>0.16660960708333336</v>
      </c>
      <c r="G50" s="222"/>
    </row>
    <row r="51" spans="2:7">
      <c r="B51" s="220">
        <v>44914</v>
      </c>
      <c r="C51" s="221">
        <v>48977.983500000002</v>
      </c>
      <c r="D51" s="221">
        <v>50.873215208333342</v>
      </c>
      <c r="E51" s="221">
        <v>37.268577291666659</v>
      </c>
      <c r="F51" s="221">
        <v>0.16911266683333337</v>
      </c>
      <c r="G51" s="222"/>
    </row>
    <row r="52" spans="2:7">
      <c r="B52" s="220">
        <v>44915</v>
      </c>
      <c r="C52" s="221">
        <v>47201.546999999999</v>
      </c>
      <c r="D52" s="221">
        <v>50.848767916666652</v>
      </c>
      <c r="E52" s="221">
        <v>37.347565416666662</v>
      </c>
      <c r="F52" s="221">
        <v>0.16817709125000002</v>
      </c>
      <c r="G52" s="222"/>
    </row>
    <row r="53" spans="2:7">
      <c r="B53" s="220">
        <v>44916</v>
      </c>
      <c r="C53" s="221">
        <v>49049.860499999995</v>
      </c>
      <c r="D53" s="221">
        <v>50.745834583333334</v>
      </c>
      <c r="E53" s="221">
        <v>37.360461666666673</v>
      </c>
      <c r="F53" s="221">
        <v>0.17010548437500003</v>
      </c>
      <c r="G53" s="222"/>
    </row>
    <row r="54" spans="2:7">
      <c r="B54" s="220">
        <v>44917</v>
      </c>
      <c r="C54" s="221">
        <v>48894.334000000024</v>
      </c>
      <c r="D54" s="221">
        <v>50.816512083333329</v>
      </c>
      <c r="E54" s="221">
        <v>37.260637916666674</v>
      </c>
      <c r="F54" s="221">
        <v>0.16650804139583333</v>
      </c>
      <c r="G54" s="222"/>
    </row>
    <row r="55" spans="2:7">
      <c r="B55" s="220">
        <v>44918</v>
      </c>
      <c r="C55" s="221">
        <v>48929.334999999999</v>
      </c>
      <c r="D55" s="221">
        <v>50.776781458333325</v>
      </c>
      <c r="E55" s="221">
        <v>37.258535416666668</v>
      </c>
      <c r="F55" s="221">
        <v>0.18668374458333334</v>
      </c>
      <c r="G55" s="222"/>
    </row>
    <row r="56" spans="2:7">
      <c r="B56" s="220">
        <v>44919</v>
      </c>
      <c r="C56" s="221">
        <v>48121.869500000001</v>
      </c>
      <c r="D56" s="221">
        <v>50.746363541666653</v>
      </c>
      <c r="E56" s="221">
        <v>37.324289166666652</v>
      </c>
      <c r="F56" s="221">
        <v>0.18223871020833335</v>
      </c>
      <c r="G56" s="222"/>
    </row>
    <row r="57" spans="2:7">
      <c r="B57" s="220">
        <v>44920</v>
      </c>
      <c r="C57" s="221">
        <v>48528.824999999983</v>
      </c>
      <c r="D57" s="221">
        <v>50.816017500000015</v>
      </c>
      <c r="E57" s="221">
        <v>37.287641666666666</v>
      </c>
      <c r="F57" s="221">
        <v>0.17539488875000001</v>
      </c>
      <c r="G57" s="222"/>
    </row>
    <row r="58" spans="2:7">
      <c r="B58" s="220">
        <v>44921</v>
      </c>
      <c r="C58" s="221">
        <v>47466.438449999987</v>
      </c>
      <c r="D58" s="221">
        <v>50.819149999999986</v>
      </c>
      <c r="E58" s="221">
        <v>37.308787083333335</v>
      </c>
      <c r="F58" s="221">
        <v>0.19036415750000005</v>
      </c>
      <c r="G58" s="222"/>
    </row>
    <row r="59" spans="2:7">
      <c r="B59" s="220">
        <v>44922</v>
      </c>
      <c r="C59" s="221">
        <v>48767.735000000001</v>
      </c>
      <c r="D59" s="221">
        <v>50.852580208333329</v>
      </c>
      <c r="E59" s="221">
        <v>37.255679166666674</v>
      </c>
      <c r="F59" s="221">
        <v>0.20038919645833334</v>
      </c>
      <c r="G59" s="222"/>
    </row>
    <row r="60" spans="2:7">
      <c r="B60" s="220">
        <v>44923</v>
      </c>
      <c r="C60" s="221">
        <v>47633.522499999999</v>
      </c>
      <c r="D60" s="221">
        <v>50.793017083333361</v>
      </c>
      <c r="E60" s="221">
        <v>37.341174583333327</v>
      </c>
      <c r="F60" s="221">
        <v>0.17488550083333324</v>
      </c>
      <c r="G60" s="222"/>
    </row>
    <row r="61" spans="2:7">
      <c r="B61" s="220">
        <v>44924</v>
      </c>
      <c r="C61" s="221">
        <v>48122.583999999988</v>
      </c>
      <c r="D61" s="221">
        <v>50.771579166666662</v>
      </c>
      <c r="E61" s="221">
        <v>37.249605000000003</v>
      </c>
      <c r="F61" s="221">
        <v>0.15411858999999997</v>
      </c>
      <c r="G61" s="222"/>
    </row>
    <row r="62" spans="2:7">
      <c r="B62" s="220">
        <v>44925</v>
      </c>
      <c r="C62" s="221">
        <v>47261.460999999988</v>
      </c>
      <c r="D62" s="221">
        <v>50.897889791666678</v>
      </c>
      <c r="E62" s="221">
        <v>37.23417645833333</v>
      </c>
      <c r="F62" s="221">
        <v>0.16681216604166663</v>
      </c>
      <c r="G62" s="222"/>
    </row>
    <row r="63" spans="2:7">
      <c r="B63" s="220">
        <v>44926</v>
      </c>
      <c r="C63" s="221">
        <v>46622.828999999998</v>
      </c>
      <c r="D63" s="221">
        <v>50.790057916666647</v>
      </c>
      <c r="E63" s="221">
        <v>37.30579749999999</v>
      </c>
      <c r="F63" s="221">
        <v>0.21163611831250004</v>
      </c>
      <c r="G63" s="222"/>
    </row>
    <row r="64" spans="2:7">
      <c r="B64" s="220">
        <v>44927</v>
      </c>
      <c r="C64" s="221">
        <v>45131.932999999997</v>
      </c>
      <c r="D64" s="221">
        <v>50.315162708333339</v>
      </c>
      <c r="E64" s="221">
        <v>36.126997708333334</v>
      </c>
      <c r="F64" s="221">
        <v>0.17830339145833332</v>
      </c>
      <c r="G64" s="222"/>
    </row>
    <row r="65" spans="2:7">
      <c r="B65" s="220">
        <v>44928</v>
      </c>
      <c r="C65" s="221">
        <v>45320.194999999992</v>
      </c>
      <c r="D65" s="221">
        <v>50.354357083333326</v>
      </c>
      <c r="E65" s="221">
        <v>36.190690416666655</v>
      </c>
      <c r="F65" s="221">
        <v>0.15652115885416662</v>
      </c>
      <c r="G65" s="222"/>
    </row>
    <row r="66" spans="2:7">
      <c r="B66" s="220">
        <v>44929</v>
      </c>
      <c r="C66" s="221">
        <v>45491.310499999992</v>
      </c>
      <c r="D66" s="221">
        <v>50.347604583333343</v>
      </c>
      <c r="E66" s="221">
        <v>36.136433124999996</v>
      </c>
      <c r="F66" s="221">
        <v>0.17318030249999997</v>
      </c>
      <c r="G66" s="222"/>
    </row>
    <row r="67" spans="2:7">
      <c r="B67" s="220">
        <v>44930</v>
      </c>
      <c r="C67" s="221">
        <v>47634.550499999998</v>
      </c>
      <c r="D67" s="221">
        <v>50.391195208333329</v>
      </c>
      <c r="E67" s="221">
        <v>36.197698333333328</v>
      </c>
      <c r="F67" s="221">
        <v>0.15923657291666668</v>
      </c>
      <c r="G67" s="222"/>
    </row>
    <row r="68" spans="2:7">
      <c r="B68" s="220">
        <v>44931</v>
      </c>
      <c r="C68" s="221">
        <v>45987.85115000001</v>
      </c>
      <c r="D68" s="221">
        <v>50.379887708333335</v>
      </c>
      <c r="E68" s="221">
        <v>36.166387499999992</v>
      </c>
      <c r="F68" s="221">
        <v>0.16972751583333337</v>
      </c>
      <c r="G68" s="222"/>
    </row>
    <row r="69" spans="2:7">
      <c r="B69" s="220">
        <v>44932</v>
      </c>
      <c r="C69" s="221">
        <v>48904.547000000013</v>
      </c>
      <c r="D69" s="221">
        <v>50.316745000000019</v>
      </c>
      <c r="E69" s="221">
        <v>36.108189791666675</v>
      </c>
      <c r="F69" s="221">
        <v>0.19153786333333334</v>
      </c>
      <c r="G69" s="222"/>
    </row>
    <row r="70" spans="2:7">
      <c r="B70" s="220">
        <v>44933</v>
      </c>
      <c r="C70" s="221">
        <v>47780.97800000001</v>
      </c>
      <c r="D70" s="221">
        <v>50.307236249999995</v>
      </c>
      <c r="E70" s="221">
        <v>36.096925833333323</v>
      </c>
      <c r="F70" s="221">
        <v>0.19227264645833339</v>
      </c>
      <c r="G70" s="222"/>
    </row>
    <row r="71" spans="2:7">
      <c r="B71" s="220">
        <v>44934</v>
      </c>
      <c r="C71" s="221">
        <v>47228.415000000001</v>
      </c>
      <c r="D71" s="221">
        <v>50.38581791666666</v>
      </c>
      <c r="E71" s="221">
        <v>36.129048958333321</v>
      </c>
      <c r="F71" s="221">
        <v>0.18901660791666666</v>
      </c>
      <c r="G71" s="222"/>
    </row>
    <row r="72" spans="2:7">
      <c r="B72" s="220">
        <v>44935</v>
      </c>
      <c r="C72" s="221">
        <v>47328.284500000002</v>
      </c>
      <c r="D72" s="221">
        <v>50.391017916666677</v>
      </c>
      <c r="E72" s="221">
        <v>36.102133124999995</v>
      </c>
      <c r="F72" s="221">
        <v>0.16197745833333335</v>
      </c>
      <c r="G72" s="222"/>
    </row>
    <row r="73" spans="2:7">
      <c r="B73" s="220">
        <v>44936</v>
      </c>
      <c r="C73" s="221">
        <v>45781.878000000004</v>
      </c>
      <c r="D73" s="221">
        <v>50.315152708333308</v>
      </c>
      <c r="E73" s="221">
        <v>36.07168124999999</v>
      </c>
      <c r="F73" s="221">
        <v>0.19545653833333332</v>
      </c>
      <c r="G73" s="222"/>
    </row>
    <row r="74" spans="2:7">
      <c r="B74" s="220">
        <v>44937</v>
      </c>
      <c r="C74" s="221">
        <v>46600.183500000006</v>
      </c>
      <c r="D74" s="221">
        <v>50.295695416666653</v>
      </c>
      <c r="E74" s="221">
        <v>36.078141458333342</v>
      </c>
      <c r="F74" s="221">
        <v>0.15826789291666665</v>
      </c>
      <c r="G74" s="222"/>
    </row>
    <row r="75" spans="2:7">
      <c r="B75" s="220">
        <v>44938</v>
      </c>
      <c r="C75" s="221">
        <v>46844.135999999991</v>
      </c>
      <c r="D75" s="221">
        <v>50.304868958333337</v>
      </c>
      <c r="E75" s="221">
        <v>36.120457083333328</v>
      </c>
      <c r="F75" s="221">
        <v>0.16074678249999999</v>
      </c>
      <c r="G75" s="222"/>
    </row>
    <row r="76" spans="2:7">
      <c r="B76" s="220">
        <v>44939</v>
      </c>
      <c r="C76" s="221">
        <v>45175.536999999997</v>
      </c>
      <c r="D76" s="221">
        <v>50.335389374999998</v>
      </c>
      <c r="E76" s="221">
        <v>36.11967125000001</v>
      </c>
      <c r="F76" s="221">
        <v>0.17186929266666665</v>
      </c>
      <c r="G76" s="222"/>
    </row>
    <row r="77" spans="2:7">
      <c r="B77" s="220">
        <v>44940</v>
      </c>
      <c r="C77" s="221">
        <v>47399.291999999987</v>
      </c>
      <c r="D77" s="221">
        <v>50.384557291666681</v>
      </c>
      <c r="E77" s="221">
        <v>36.150440833333334</v>
      </c>
      <c r="F77" s="221">
        <v>0.17744844833333337</v>
      </c>
      <c r="G77" s="222"/>
    </row>
    <row r="78" spans="2:7">
      <c r="B78" s="220">
        <v>44941</v>
      </c>
      <c r="C78" s="221">
        <v>47349.180500000002</v>
      </c>
      <c r="D78" s="221">
        <v>50.294888333333319</v>
      </c>
      <c r="E78" s="221">
        <v>36.187445000000004</v>
      </c>
      <c r="F78" s="221">
        <v>0.16401415187499999</v>
      </c>
      <c r="G78" s="222"/>
    </row>
    <row r="79" spans="2:7">
      <c r="B79" s="220">
        <v>44942</v>
      </c>
      <c r="C79" s="221">
        <v>46974.4375</v>
      </c>
      <c r="D79" s="221">
        <v>50.349458333333331</v>
      </c>
      <c r="E79" s="221">
        <v>36.160457083333334</v>
      </c>
      <c r="F79" s="221">
        <v>0.19387131354166673</v>
      </c>
      <c r="G79" s="222"/>
    </row>
    <row r="80" spans="2:7">
      <c r="B80" s="220">
        <v>44943</v>
      </c>
      <c r="C80" s="221">
        <v>47004.419499999996</v>
      </c>
      <c r="D80" s="221">
        <v>50.289955208333332</v>
      </c>
      <c r="E80" s="221">
        <v>36.183511666666668</v>
      </c>
      <c r="F80" s="221">
        <v>0.28564612562499986</v>
      </c>
      <c r="G80" s="222"/>
    </row>
    <row r="81" spans="2:7">
      <c r="B81" s="220">
        <v>44944</v>
      </c>
      <c r="C81" s="221">
        <v>47753.296500000011</v>
      </c>
      <c r="D81" s="221">
        <v>50.361716249999994</v>
      </c>
      <c r="E81" s="221">
        <v>36.14952520833333</v>
      </c>
      <c r="F81" s="221">
        <v>0.32651486041666672</v>
      </c>
      <c r="G81" s="222"/>
    </row>
    <row r="82" spans="2:7">
      <c r="B82" s="220">
        <v>44945</v>
      </c>
      <c r="C82" s="221">
        <v>45927.618050000005</v>
      </c>
      <c r="D82" s="221">
        <v>50.230233333333338</v>
      </c>
      <c r="E82" s="221">
        <v>36.090645624999993</v>
      </c>
      <c r="F82" s="221">
        <v>0.37901112916666674</v>
      </c>
      <c r="G82" s="222"/>
    </row>
    <row r="83" spans="2:7">
      <c r="B83" s="220">
        <v>44946</v>
      </c>
      <c r="C83" s="221">
        <v>46418.937000000005</v>
      </c>
      <c r="D83" s="221">
        <v>50.317463958333327</v>
      </c>
      <c r="E83" s="221">
        <v>36.120518958333335</v>
      </c>
      <c r="F83" s="221">
        <v>0.46882102916666657</v>
      </c>
      <c r="G83" s="222"/>
    </row>
    <row r="84" spans="2:7">
      <c r="B84" s="220">
        <v>44947</v>
      </c>
      <c r="C84" s="221">
        <v>47995.162499999991</v>
      </c>
      <c r="D84" s="221">
        <v>50.265408541666666</v>
      </c>
      <c r="E84" s="221">
        <v>36.113130625000018</v>
      </c>
      <c r="F84" s="221">
        <v>0.34266725208333332</v>
      </c>
      <c r="G84" s="222"/>
    </row>
    <row r="85" spans="2:7">
      <c r="B85" s="220">
        <v>44948</v>
      </c>
      <c r="C85" s="221">
        <v>48265.984699999994</v>
      </c>
      <c r="D85" s="221">
        <v>50.361811458333328</v>
      </c>
      <c r="E85" s="221">
        <v>36.203220833333333</v>
      </c>
      <c r="F85" s="221">
        <v>0.31430564999999999</v>
      </c>
      <c r="G85" s="222"/>
    </row>
    <row r="86" spans="2:7">
      <c r="B86" s="220">
        <v>44949</v>
      </c>
      <c r="C86" s="221">
        <v>49633.591999999997</v>
      </c>
      <c r="D86" s="221">
        <v>50.344004166666657</v>
      </c>
      <c r="E86" s="221">
        <v>36.139730624999991</v>
      </c>
      <c r="F86" s="221">
        <v>0.38439274791666667</v>
      </c>
      <c r="G86" s="222"/>
    </row>
    <row r="87" spans="2:7">
      <c r="B87" s="220">
        <v>44950</v>
      </c>
      <c r="C87" s="221">
        <v>48596.9925</v>
      </c>
      <c r="D87" s="221">
        <v>50.345291458333342</v>
      </c>
      <c r="E87" s="221">
        <v>36.122929374999984</v>
      </c>
      <c r="F87" s="221">
        <v>0.40202930833333334</v>
      </c>
      <c r="G87" s="222"/>
    </row>
    <row r="88" spans="2:7">
      <c r="B88" s="220">
        <v>44951</v>
      </c>
      <c r="C88" s="221">
        <v>47747.68450000001</v>
      </c>
      <c r="D88" s="221">
        <v>50.358814791666667</v>
      </c>
      <c r="E88" s="221">
        <v>36.194305833333345</v>
      </c>
      <c r="F88" s="221">
        <v>0.4371460145833333</v>
      </c>
      <c r="G88" s="222"/>
    </row>
    <row r="89" spans="2:7">
      <c r="B89" s="220">
        <v>44952</v>
      </c>
      <c r="C89" s="221">
        <v>46588.936999999991</v>
      </c>
      <c r="D89" s="221">
        <v>50.389065833333348</v>
      </c>
      <c r="E89" s="221">
        <v>36.120019375000005</v>
      </c>
      <c r="F89" s="221">
        <v>0.46872933333333339</v>
      </c>
      <c r="G89" s="222"/>
    </row>
    <row r="90" spans="2:7">
      <c r="B90" s="220">
        <v>44953</v>
      </c>
      <c r="C90" s="221">
        <v>44031.057500000003</v>
      </c>
      <c r="D90" s="221">
        <v>50.321676041666677</v>
      </c>
      <c r="E90" s="221">
        <v>36.016347708333335</v>
      </c>
      <c r="F90" s="221">
        <v>0.44055655208333339</v>
      </c>
      <c r="G90" s="222"/>
    </row>
    <row r="91" spans="2:7">
      <c r="B91" s="220">
        <v>44954</v>
      </c>
      <c r="C91" s="221">
        <v>46903.410500000013</v>
      </c>
      <c r="D91" s="221">
        <v>50.34804166666666</v>
      </c>
      <c r="E91" s="221">
        <v>36.108362916666657</v>
      </c>
      <c r="F91" s="221">
        <v>0.41536436041666652</v>
      </c>
      <c r="G91" s="222"/>
    </row>
    <row r="92" spans="2:7">
      <c r="B92" s="220">
        <v>44955</v>
      </c>
      <c r="C92" s="221">
        <v>47831.411499999987</v>
      </c>
      <c r="D92" s="221">
        <v>50.397533749999987</v>
      </c>
      <c r="E92" s="221">
        <v>36.070873125000006</v>
      </c>
      <c r="F92" s="221">
        <v>0.4315302041666666</v>
      </c>
      <c r="G92" s="222"/>
    </row>
    <row r="93" spans="2:7">
      <c r="B93" s="220">
        <v>44956</v>
      </c>
      <c r="C93" s="221">
        <v>46312.658000000025</v>
      </c>
      <c r="D93" s="221">
        <v>50.409808124999977</v>
      </c>
      <c r="E93" s="221">
        <v>36.150714375000007</v>
      </c>
      <c r="F93" s="221">
        <v>0.4697298020833332</v>
      </c>
      <c r="G93" s="222"/>
    </row>
    <row r="94" spans="2:7">
      <c r="B94" s="220">
        <v>44957</v>
      </c>
      <c r="C94" s="221">
        <v>46430.371500000008</v>
      </c>
      <c r="D94" s="221">
        <v>50.334923750000002</v>
      </c>
      <c r="E94" s="221">
        <v>36.10364479166666</v>
      </c>
      <c r="F94" s="221">
        <v>0.67014186250000007</v>
      </c>
      <c r="G94" s="222"/>
    </row>
    <row r="95" spans="2:7">
      <c r="B95" s="220">
        <v>44958</v>
      </c>
      <c r="C95" s="221">
        <v>48659.540500000003</v>
      </c>
      <c r="D95" s="221">
        <v>48.751437083333343</v>
      </c>
      <c r="E95" s="221">
        <v>35.128151666666675</v>
      </c>
      <c r="F95" s="221">
        <v>0.46220500416666677</v>
      </c>
      <c r="G95" s="222"/>
    </row>
    <row r="96" spans="2:7">
      <c r="B96" s="220">
        <v>44959</v>
      </c>
      <c r="C96" s="221">
        <v>48185.296000000009</v>
      </c>
      <c r="D96" s="221">
        <v>48.716826041666657</v>
      </c>
      <c r="E96" s="221">
        <v>35.103706666666675</v>
      </c>
      <c r="F96" s="221">
        <v>0.40828260208333328</v>
      </c>
      <c r="G96" s="222"/>
    </row>
    <row r="97" spans="2:7">
      <c r="B97" s="220">
        <v>44960</v>
      </c>
      <c r="C97" s="221">
        <v>48777.212999999996</v>
      </c>
      <c r="D97" s="221">
        <v>48.719696041666673</v>
      </c>
      <c r="E97" s="221">
        <v>35.166796874999989</v>
      </c>
      <c r="F97" s="221">
        <v>0.43130128541666662</v>
      </c>
      <c r="G97" s="222"/>
    </row>
    <row r="98" spans="2:7">
      <c r="B98" s="220">
        <v>44961</v>
      </c>
      <c r="C98" s="221">
        <v>47400.392000000007</v>
      </c>
      <c r="D98" s="221">
        <v>48.701811041666673</v>
      </c>
      <c r="E98" s="221">
        <v>35.101271458333336</v>
      </c>
      <c r="F98" s="221">
        <v>0.41454777500000001</v>
      </c>
      <c r="G98" s="222"/>
    </row>
    <row r="99" spans="2:7">
      <c r="B99" s="220">
        <v>44962</v>
      </c>
      <c r="C99" s="221">
        <v>47782.235500000003</v>
      </c>
      <c r="D99" s="221">
        <v>48.750438333333328</v>
      </c>
      <c r="E99" s="221">
        <v>35.092814166666663</v>
      </c>
      <c r="F99" s="221">
        <v>0.3798326125</v>
      </c>
      <c r="G99" s="222"/>
    </row>
    <row r="100" spans="2:7">
      <c r="B100" s="220">
        <v>44963</v>
      </c>
      <c r="C100" s="221">
        <v>48930.521499999988</v>
      </c>
      <c r="D100" s="221">
        <v>48.734433749999994</v>
      </c>
      <c r="E100" s="221">
        <v>35.086428750000003</v>
      </c>
      <c r="F100" s="221">
        <v>0.38392780416666666</v>
      </c>
      <c r="G100" s="222"/>
    </row>
    <row r="101" spans="2:7">
      <c r="B101" s="220">
        <v>44964</v>
      </c>
      <c r="C101" s="221">
        <v>45633.035399999972</v>
      </c>
      <c r="D101" s="221">
        <v>48.703702916666664</v>
      </c>
      <c r="E101" s="221">
        <v>35.175384791666666</v>
      </c>
      <c r="F101" s="221">
        <v>0.41176788333333342</v>
      </c>
      <c r="G101" s="222"/>
    </row>
    <row r="102" spans="2:7">
      <c r="B102" s="220">
        <v>44965</v>
      </c>
      <c r="C102" s="221">
        <v>42301.128399999994</v>
      </c>
      <c r="D102" s="221">
        <v>48.69455395833333</v>
      </c>
      <c r="E102" s="221">
        <v>35.088638124999996</v>
      </c>
      <c r="F102" s="221">
        <v>0.43206900833333339</v>
      </c>
      <c r="G102" s="222"/>
    </row>
    <row r="103" spans="2:7">
      <c r="B103" s="220">
        <v>44966</v>
      </c>
      <c r="C103" s="221">
        <v>48627.726499999997</v>
      </c>
      <c r="D103" s="221">
        <v>48.723843124999995</v>
      </c>
      <c r="E103" s="221">
        <v>35.10206645833334</v>
      </c>
      <c r="F103" s="221">
        <v>0.40649250416666677</v>
      </c>
      <c r="G103" s="222"/>
    </row>
    <row r="104" spans="2:7">
      <c r="B104" s="220">
        <v>44967</v>
      </c>
      <c r="C104" s="221">
        <v>49248.855500000005</v>
      </c>
      <c r="D104" s="221">
        <v>48.678882916666673</v>
      </c>
      <c r="E104" s="221">
        <v>35.065678541666664</v>
      </c>
      <c r="F104" s="221">
        <v>0.35920418958333333</v>
      </c>
      <c r="G104" s="222"/>
    </row>
    <row r="105" spans="2:7">
      <c r="B105" s="220">
        <v>44968</v>
      </c>
      <c r="C105" s="221">
        <v>50233.79599999998</v>
      </c>
      <c r="D105" s="221">
        <v>48.673526041666662</v>
      </c>
      <c r="E105" s="221">
        <v>35.166008124999998</v>
      </c>
      <c r="F105" s="221">
        <v>0.38054762708333328</v>
      </c>
      <c r="G105" s="222"/>
    </row>
    <row r="106" spans="2:7">
      <c r="B106" s="220">
        <v>44969</v>
      </c>
      <c r="C106" s="221">
        <v>49826.601999999984</v>
      </c>
      <c r="D106" s="221">
        <v>48.782598124999986</v>
      </c>
      <c r="E106" s="221">
        <v>35.056907708333334</v>
      </c>
      <c r="F106" s="221">
        <v>0.38826447083333332</v>
      </c>
      <c r="G106" s="222"/>
    </row>
    <row r="107" spans="2:7">
      <c r="B107" s="220">
        <v>44970</v>
      </c>
      <c r="C107" s="221">
        <v>51771.29849999999</v>
      </c>
      <c r="D107" s="221">
        <v>48.691711874999989</v>
      </c>
      <c r="E107" s="221">
        <v>35.06190479166667</v>
      </c>
      <c r="F107" s="221">
        <v>0.34269031583333337</v>
      </c>
      <c r="G107" s="222"/>
    </row>
    <row r="108" spans="2:7">
      <c r="B108" s="220">
        <v>44971</v>
      </c>
      <c r="C108" s="221">
        <v>50545.635499999989</v>
      </c>
      <c r="D108" s="221">
        <v>48.746607708333336</v>
      </c>
      <c r="E108" s="221">
        <v>34.998471458333341</v>
      </c>
      <c r="F108" s="221">
        <v>0.24990285166666673</v>
      </c>
      <c r="G108" s="222"/>
    </row>
    <row r="109" spans="2:7">
      <c r="B109" s="220">
        <v>44972</v>
      </c>
      <c r="C109" s="221">
        <v>51954.180500000009</v>
      </c>
      <c r="D109" s="221">
        <v>48.713684374999985</v>
      </c>
      <c r="E109" s="221">
        <v>35.072794166666661</v>
      </c>
      <c r="F109" s="221">
        <v>0.29894232708333318</v>
      </c>
      <c r="G109" s="222"/>
    </row>
    <row r="110" spans="2:7">
      <c r="B110" s="220">
        <v>44973</v>
      </c>
      <c r="C110" s="221">
        <v>48811.554899999996</v>
      </c>
      <c r="D110" s="221">
        <v>48.792411874999999</v>
      </c>
      <c r="E110" s="221">
        <v>35.125131875000008</v>
      </c>
      <c r="F110" s="221">
        <v>0.29937550833333332</v>
      </c>
      <c r="G110" s="222"/>
    </row>
    <row r="111" spans="2:7">
      <c r="B111" s="220">
        <v>44974</v>
      </c>
      <c r="C111" s="221">
        <v>50864.754500000003</v>
      </c>
      <c r="D111" s="221">
        <v>48.680746458333338</v>
      </c>
      <c r="E111" s="221">
        <v>35.118152500000001</v>
      </c>
      <c r="F111" s="221">
        <v>0.25511592458333326</v>
      </c>
      <c r="G111" s="222"/>
    </row>
    <row r="112" spans="2:7">
      <c r="B112" s="220">
        <v>44975</v>
      </c>
      <c r="C112" s="221">
        <v>50508.321499999991</v>
      </c>
      <c r="D112" s="221">
        <v>48.712792291666659</v>
      </c>
      <c r="E112" s="221">
        <v>35.152718749999998</v>
      </c>
      <c r="F112" s="221">
        <v>0.24716141291666671</v>
      </c>
      <c r="G112" s="222"/>
    </row>
    <row r="113" spans="2:7">
      <c r="B113" s="220">
        <v>44976</v>
      </c>
      <c r="C113" s="221">
        <v>50410.915000000008</v>
      </c>
      <c r="D113" s="221">
        <v>48.703920416666669</v>
      </c>
      <c r="E113" s="221">
        <v>35.075584374999991</v>
      </c>
      <c r="F113" s="221">
        <v>0.211621685</v>
      </c>
      <c r="G113" s="222"/>
    </row>
    <row r="114" spans="2:7">
      <c r="B114" s="220">
        <v>44977</v>
      </c>
      <c r="C114" s="221">
        <v>51382.459299999995</v>
      </c>
      <c r="D114" s="221">
        <v>48.751158541666683</v>
      </c>
      <c r="E114" s="221">
        <v>35.059436666666656</v>
      </c>
      <c r="F114" s="221">
        <v>0.21162314541666663</v>
      </c>
      <c r="G114" s="222"/>
    </row>
    <row r="115" spans="2:7">
      <c r="B115" s="220">
        <v>44978</v>
      </c>
      <c r="C115" s="221">
        <v>50290.039999999994</v>
      </c>
      <c r="D115" s="221">
        <v>48.714701249999997</v>
      </c>
      <c r="E115" s="221">
        <v>35.161858333333335</v>
      </c>
      <c r="F115" s="221">
        <v>0.18955406666666672</v>
      </c>
      <c r="G115" s="222"/>
    </row>
    <row r="116" spans="2:7">
      <c r="B116" s="220">
        <v>44979</v>
      </c>
      <c r="C116" s="221">
        <v>49844.293000000005</v>
      </c>
      <c r="D116" s="221">
        <v>48.693980208333336</v>
      </c>
      <c r="E116" s="221">
        <v>35.192904374999991</v>
      </c>
      <c r="F116" s="221">
        <v>0.22619756999999996</v>
      </c>
      <c r="G116" s="222"/>
    </row>
    <row r="117" spans="2:7">
      <c r="B117" s="220">
        <v>44980</v>
      </c>
      <c r="C117" s="221">
        <v>50237.697350000002</v>
      </c>
      <c r="D117" s="221">
        <v>48.737241041666671</v>
      </c>
      <c r="E117" s="221">
        <v>35.077080625000001</v>
      </c>
      <c r="F117" s="221">
        <v>0.20879691687500004</v>
      </c>
      <c r="G117" s="222"/>
    </row>
    <row r="118" spans="2:7">
      <c r="B118" s="220">
        <v>44981</v>
      </c>
      <c r="C118" s="221">
        <v>50315.798000000003</v>
      </c>
      <c r="D118" s="221">
        <v>48.714856041666657</v>
      </c>
      <c r="E118" s="221">
        <v>35.173978124999998</v>
      </c>
      <c r="F118" s="221">
        <v>0.22844561437499999</v>
      </c>
      <c r="G118" s="222"/>
    </row>
    <row r="119" spans="2:7">
      <c r="B119" s="220">
        <v>44982</v>
      </c>
      <c r="C119" s="221">
        <v>48725.213000000003</v>
      </c>
      <c r="D119" s="221">
        <v>48.719655208333329</v>
      </c>
      <c r="E119" s="221">
        <v>35.074416874999997</v>
      </c>
      <c r="F119" s="221">
        <v>0.21175819416666672</v>
      </c>
      <c r="G119" s="222"/>
    </row>
    <row r="120" spans="2:7">
      <c r="B120" s="220">
        <v>44983</v>
      </c>
      <c r="C120" s="221">
        <v>49189.307999999983</v>
      </c>
      <c r="D120" s="221">
        <v>48.713271666666678</v>
      </c>
      <c r="E120" s="221">
        <v>35.116132916666679</v>
      </c>
      <c r="F120" s="221">
        <v>0.2823502247916666</v>
      </c>
      <c r="G120" s="222"/>
    </row>
    <row r="121" spans="2:7">
      <c r="B121" s="220">
        <v>44984</v>
      </c>
      <c r="C121" s="221">
        <v>46315.315049999997</v>
      </c>
      <c r="D121" s="221">
        <v>48.716322708333344</v>
      </c>
      <c r="E121" s="221">
        <v>35.154875000000004</v>
      </c>
      <c r="F121" s="221">
        <v>0.35286402083333335</v>
      </c>
      <c r="G121" s="222"/>
    </row>
    <row r="122" spans="2:7">
      <c r="B122" s="220">
        <v>44985</v>
      </c>
      <c r="C122" s="221">
        <v>50200.148500000018</v>
      </c>
      <c r="D122" s="221">
        <v>48.737510208333333</v>
      </c>
      <c r="E122" s="221">
        <v>35.137373749999995</v>
      </c>
      <c r="F122" s="221">
        <v>0.23169457854166667</v>
      </c>
      <c r="G122" s="222"/>
    </row>
    <row r="123" spans="2:7">
      <c r="B123" s="220">
        <v>44986</v>
      </c>
      <c r="C123" s="221">
        <v>49707.423500000012</v>
      </c>
      <c r="D123" s="221">
        <v>49.436410624999979</v>
      </c>
      <c r="E123" s="221">
        <v>35.647414375000018</v>
      </c>
      <c r="F123" s="221">
        <v>0.21496636354166665</v>
      </c>
      <c r="G123" s="222"/>
    </row>
    <row r="124" spans="2:7">
      <c r="B124" s="220">
        <v>44987</v>
      </c>
      <c r="C124" s="221">
        <v>49822.895500000006</v>
      </c>
      <c r="D124" s="221">
        <v>49.406745416666659</v>
      </c>
      <c r="E124" s="221">
        <v>35.684990000000006</v>
      </c>
      <c r="F124" s="221">
        <v>0.22305521979166673</v>
      </c>
      <c r="G124" s="222"/>
    </row>
    <row r="125" spans="2:7">
      <c r="B125" s="220">
        <v>44988</v>
      </c>
      <c r="C125" s="221">
        <v>47303.717500000013</v>
      </c>
      <c r="D125" s="221">
        <v>49.506212708333344</v>
      </c>
      <c r="E125" s="221">
        <v>35.742719583333326</v>
      </c>
      <c r="F125" s="221">
        <v>0.19851654145833331</v>
      </c>
      <c r="G125" s="222"/>
    </row>
    <row r="126" spans="2:7">
      <c r="B126" s="220">
        <v>44989</v>
      </c>
      <c r="C126" s="221">
        <v>49736.846500000014</v>
      </c>
      <c r="D126" s="221">
        <v>49.475389791666665</v>
      </c>
      <c r="E126" s="221">
        <v>35.642970624999997</v>
      </c>
      <c r="F126" s="221">
        <v>0.20458369833333337</v>
      </c>
      <c r="G126" s="222"/>
    </row>
    <row r="127" spans="2:7">
      <c r="B127" s="220">
        <v>44990</v>
      </c>
      <c r="C127" s="221">
        <v>47783.450000000004</v>
      </c>
      <c r="D127" s="221">
        <v>49.405997916666657</v>
      </c>
      <c r="E127" s="221">
        <v>35.678900416666671</v>
      </c>
      <c r="F127" s="221">
        <v>0.17733603916666665</v>
      </c>
      <c r="G127" s="222"/>
    </row>
    <row r="128" spans="2:7">
      <c r="B128" s="220">
        <v>44991</v>
      </c>
      <c r="C128" s="221">
        <v>46308.590850000015</v>
      </c>
      <c r="D128" s="221">
        <v>49.398748125000004</v>
      </c>
      <c r="E128" s="221">
        <v>35.613410208333335</v>
      </c>
      <c r="F128" s="221">
        <v>0.14637088375000004</v>
      </c>
      <c r="G128" s="222"/>
    </row>
    <row r="129" spans="2:7">
      <c r="B129" s="220">
        <v>44992</v>
      </c>
      <c r="C129" s="221">
        <v>49321.669499999989</v>
      </c>
      <c r="D129" s="221">
        <v>49.393092291666676</v>
      </c>
      <c r="E129" s="221">
        <v>35.70273979166668</v>
      </c>
      <c r="F129" s="221">
        <v>0.20394676249999999</v>
      </c>
      <c r="G129" s="222"/>
    </row>
    <row r="130" spans="2:7">
      <c r="B130" s="220">
        <v>44993</v>
      </c>
      <c r="C130" s="221">
        <v>47821.393599999989</v>
      </c>
      <c r="D130" s="221">
        <v>49.520928749999996</v>
      </c>
      <c r="E130" s="221">
        <v>35.632366875000002</v>
      </c>
      <c r="F130" s="221">
        <v>0.1899146604166666</v>
      </c>
      <c r="G130" s="222"/>
    </row>
    <row r="131" spans="2:7">
      <c r="B131" s="220">
        <v>44994</v>
      </c>
      <c r="C131" s="221">
        <v>49021.466850000019</v>
      </c>
      <c r="D131" s="221">
        <v>49.485516250000018</v>
      </c>
      <c r="E131" s="221">
        <v>35.643172708333317</v>
      </c>
      <c r="F131" s="221">
        <v>0.19300890833333331</v>
      </c>
      <c r="G131" s="222"/>
    </row>
    <row r="132" spans="2:7">
      <c r="B132" s="220">
        <v>44995</v>
      </c>
      <c r="C132" s="221">
        <v>50426.590500000006</v>
      </c>
      <c r="D132" s="221">
        <v>49.44907833333334</v>
      </c>
      <c r="E132" s="221">
        <v>35.609421666666655</v>
      </c>
      <c r="F132" s="221">
        <v>0.21951740645833331</v>
      </c>
      <c r="G132" s="222"/>
    </row>
    <row r="133" spans="2:7">
      <c r="B133" s="220">
        <v>44996</v>
      </c>
      <c r="C133" s="221">
        <v>48778.910000000011</v>
      </c>
      <c r="D133" s="221">
        <v>49.45124666666667</v>
      </c>
      <c r="E133" s="221">
        <v>35.675384374999986</v>
      </c>
      <c r="F133" s="221">
        <v>0.20311148916666666</v>
      </c>
      <c r="G133" s="222"/>
    </row>
    <row r="134" spans="2:7">
      <c r="B134" s="220">
        <v>44997</v>
      </c>
      <c r="C134" s="221">
        <v>49744.144200000002</v>
      </c>
      <c r="D134" s="221">
        <v>49.470772083333316</v>
      </c>
      <c r="E134" s="221">
        <v>35.67334833333333</v>
      </c>
      <c r="F134" s="221">
        <v>0.14386292208333329</v>
      </c>
      <c r="G134" s="222"/>
    </row>
    <row r="135" spans="2:7">
      <c r="B135" s="220">
        <v>44998</v>
      </c>
      <c r="C135" s="221">
        <v>49100.428450000007</v>
      </c>
      <c r="D135" s="221">
        <v>49.424623749999995</v>
      </c>
      <c r="E135" s="221">
        <v>35.692764583333343</v>
      </c>
      <c r="F135" s="221">
        <v>0.23012241149999998</v>
      </c>
      <c r="G135" s="222"/>
    </row>
    <row r="136" spans="2:7">
      <c r="B136" s="220">
        <v>44999</v>
      </c>
      <c r="C136" s="221">
        <v>49348.211249999993</v>
      </c>
      <c r="D136" s="221">
        <v>49.347468333333332</v>
      </c>
      <c r="E136" s="221">
        <v>35.667771249999994</v>
      </c>
      <c r="F136" s="221">
        <v>0.18555080729166659</v>
      </c>
      <c r="G136" s="222"/>
    </row>
    <row r="137" spans="2:7">
      <c r="B137" s="220">
        <v>45000</v>
      </c>
      <c r="C137" s="221">
        <v>50003.177999999993</v>
      </c>
      <c r="D137" s="221">
        <v>49.524899791666677</v>
      </c>
      <c r="E137" s="221">
        <v>35.660944583333318</v>
      </c>
      <c r="F137" s="221">
        <v>0.17226514208333332</v>
      </c>
      <c r="G137" s="222"/>
    </row>
    <row r="138" spans="2:7">
      <c r="B138" s="220">
        <v>45001</v>
      </c>
      <c r="C138" s="221">
        <v>49805.796949999982</v>
      </c>
      <c r="D138" s="221">
        <v>49.454582916666673</v>
      </c>
      <c r="E138" s="221">
        <v>35.627650208333328</v>
      </c>
      <c r="F138" s="221">
        <v>0.1775422029166667</v>
      </c>
      <c r="G138" s="222"/>
    </row>
    <row r="139" spans="2:7">
      <c r="B139" s="220">
        <v>45002</v>
      </c>
      <c r="C139" s="221">
        <v>50116.176700000004</v>
      </c>
      <c r="D139" s="221">
        <v>49.449988958333343</v>
      </c>
      <c r="E139" s="221">
        <v>35.660017916666661</v>
      </c>
      <c r="F139" s="221">
        <v>0.16005811833333336</v>
      </c>
      <c r="G139" s="222"/>
    </row>
    <row r="140" spans="2:7">
      <c r="B140" s="220">
        <v>45003</v>
      </c>
      <c r="C140" s="221">
        <v>45556.197249999983</v>
      </c>
      <c r="D140" s="221">
        <v>49.477149791666669</v>
      </c>
      <c r="E140" s="221">
        <v>35.683327083333332</v>
      </c>
      <c r="F140" s="221">
        <v>0.16004089229166665</v>
      </c>
      <c r="G140" s="222"/>
    </row>
    <row r="141" spans="2:7">
      <c r="B141" s="220">
        <v>45004</v>
      </c>
      <c r="C141" s="221">
        <v>43541.682500000003</v>
      </c>
      <c r="D141" s="221">
        <v>49.44125833333333</v>
      </c>
      <c r="E141" s="221">
        <v>35.691055624999997</v>
      </c>
      <c r="F141" s="221">
        <v>0.17459614666666665</v>
      </c>
      <c r="G141" s="222"/>
    </row>
    <row r="142" spans="2:7">
      <c r="B142" s="220">
        <v>45005</v>
      </c>
      <c r="C142" s="221">
        <v>42803.14449999998</v>
      </c>
      <c r="D142" s="221">
        <v>49.429037916666658</v>
      </c>
      <c r="E142" s="221">
        <v>35.608419166666664</v>
      </c>
      <c r="F142" s="221">
        <v>0.17186959812500005</v>
      </c>
      <c r="G142" s="222"/>
    </row>
    <row r="143" spans="2:7">
      <c r="B143" s="220">
        <v>45006</v>
      </c>
      <c r="C143" s="221">
        <v>42240.049000000006</v>
      </c>
      <c r="D143" s="221">
        <v>49.455069999999978</v>
      </c>
      <c r="E143" s="221">
        <v>35.696508541666667</v>
      </c>
      <c r="F143" s="221">
        <v>0.18348977625000004</v>
      </c>
      <c r="G143" s="222"/>
    </row>
    <row r="144" spans="2:7">
      <c r="B144" s="220">
        <v>45007</v>
      </c>
      <c r="C144" s="221">
        <v>43120.561000000002</v>
      </c>
      <c r="D144" s="221">
        <v>49.436270208333355</v>
      </c>
      <c r="E144" s="221">
        <v>35.73140333333334</v>
      </c>
      <c r="F144" s="221">
        <v>0.17776204395833331</v>
      </c>
      <c r="G144" s="222"/>
    </row>
    <row r="145" spans="2:7">
      <c r="B145" s="220">
        <v>45008</v>
      </c>
      <c r="C145" s="221">
        <v>43750.604499999994</v>
      </c>
      <c r="D145" s="221">
        <v>49.520008333333323</v>
      </c>
      <c r="E145" s="221">
        <v>35.622222291666652</v>
      </c>
      <c r="F145" s="221">
        <v>0.17731310520833332</v>
      </c>
      <c r="G145" s="222"/>
    </row>
    <row r="146" spans="2:7">
      <c r="B146" s="220">
        <v>45009</v>
      </c>
      <c r="C146" s="221">
        <v>44476.616999999991</v>
      </c>
      <c r="D146" s="221">
        <v>49.507152291666678</v>
      </c>
      <c r="E146" s="221">
        <v>35.725172708333332</v>
      </c>
      <c r="F146" s="221">
        <v>0.18176682458333329</v>
      </c>
      <c r="G146" s="222"/>
    </row>
    <row r="147" spans="2:7">
      <c r="B147" s="220">
        <v>45010</v>
      </c>
      <c r="C147" s="221">
        <v>43058.123500000002</v>
      </c>
      <c r="D147" s="221">
        <v>49.510314999999991</v>
      </c>
      <c r="E147" s="221">
        <v>35.625554583333319</v>
      </c>
      <c r="F147" s="221">
        <v>0.19440077770833333</v>
      </c>
      <c r="G147" s="222"/>
    </row>
    <row r="148" spans="2:7">
      <c r="B148" s="220">
        <v>45011</v>
      </c>
      <c r="C148" s="221">
        <v>44468.544000000002</v>
      </c>
      <c r="D148" s="221">
        <v>49.396357916666666</v>
      </c>
      <c r="E148" s="221">
        <v>35.68035041666667</v>
      </c>
      <c r="F148" s="221">
        <v>0.1612248141666667</v>
      </c>
      <c r="G148" s="222"/>
    </row>
    <row r="149" spans="2:7">
      <c r="B149" s="220">
        <v>45012</v>
      </c>
      <c r="C149" s="221">
        <v>42761.809499999996</v>
      </c>
      <c r="D149" s="221">
        <v>49.463063749999982</v>
      </c>
      <c r="E149" s="221">
        <v>35.678881041666656</v>
      </c>
      <c r="F149" s="221">
        <v>0.17153716875000002</v>
      </c>
      <c r="G149" s="222"/>
    </row>
    <row r="150" spans="2:7">
      <c r="B150" s="220">
        <v>45013</v>
      </c>
      <c r="C150" s="221">
        <v>42681.995999999985</v>
      </c>
      <c r="D150" s="221">
        <v>49.478672291666662</v>
      </c>
      <c r="E150" s="221">
        <v>35.677723749999991</v>
      </c>
      <c r="F150" s="221">
        <v>0.13460184979166664</v>
      </c>
      <c r="G150" s="222"/>
    </row>
    <row r="151" spans="2:7">
      <c r="B151" s="220">
        <v>45014</v>
      </c>
      <c r="C151" s="221">
        <v>44589.67500000001</v>
      </c>
      <c r="D151" s="221">
        <v>49.449180416666678</v>
      </c>
      <c r="E151" s="221">
        <v>35.653767291666668</v>
      </c>
      <c r="F151" s="221">
        <v>0.14366111645833335</v>
      </c>
      <c r="G151" s="222"/>
    </row>
    <row r="152" spans="2:7">
      <c r="B152" s="220">
        <v>45015</v>
      </c>
      <c r="C152" s="221">
        <v>44502.687499999993</v>
      </c>
      <c r="D152" s="221">
        <v>49.438943333333327</v>
      </c>
      <c r="E152" s="221">
        <v>35.747111875000009</v>
      </c>
      <c r="F152" s="221">
        <v>0.1900107272916666</v>
      </c>
      <c r="G152" s="222"/>
    </row>
    <row r="153" spans="2:7">
      <c r="B153" s="220">
        <v>45016</v>
      </c>
      <c r="C153" s="221">
        <v>43199.896999999997</v>
      </c>
      <c r="D153" s="221">
        <v>49.70407208333333</v>
      </c>
      <c r="E153" s="221">
        <v>35.75281270833333</v>
      </c>
      <c r="F153" s="221">
        <v>0.21468573229166668</v>
      </c>
      <c r="G153" s="222"/>
    </row>
    <row r="154" spans="2:7">
      <c r="B154" s="220">
        <v>45017</v>
      </c>
      <c r="C154" s="221">
        <v>42949.341500000002</v>
      </c>
      <c r="D154" s="221">
        <v>51.900564583333328</v>
      </c>
      <c r="E154" s="221">
        <v>37.91493333333333</v>
      </c>
      <c r="F154" s="221">
        <v>0.22001154562499992</v>
      </c>
      <c r="G154" s="222"/>
    </row>
    <row r="155" spans="2:7">
      <c r="B155" s="220">
        <v>45018</v>
      </c>
      <c r="C155" s="221">
        <v>43928.104000000007</v>
      </c>
      <c r="D155" s="221">
        <v>51.944881458333334</v>
      </c>
      <c r="E155" s="221">
        <v>37.84549791666668</v>
      </c>
      <c r="F155" s="221">
        <v>0.20141797291666663</v>
      </c>
      <c r="G155" s="222"/>
    </row>
    <row r="156" spans="2:7">
      <c r="B156" s="220">
        <v>45019</v>
      </c>
      <c r="C156" s="221">
        <v>42816.489000000009</v>
      </c>
      <c r="D156" s="221">
        <v>51.803234166666662</v>
      </c>
      <c r="E156" s="221">
        <v>37.754337916666664</v>
      </c>
      <c r="F156" s="221">
        <v>0.21777001250000005</v>
      </c>
      <c r="G156" s="222"/>
    </row>
    <row r="157" spans="2:7">
      <c r="B157" s="220">
        <v>45020</v>
      </c>
      <c r="C157" s="221">
        <v>42202.504850000027</v>
      </c>
      <c r="D157" s="221">
        <v>51.882886458333353</v>
      </c>
      <c r="E157" s="221">
        <v>37.823272291666676</v>
      </c>
      <c r="F157" s="221">
        <v>0.15908342062499997</v>
      </c>
      <c r="G157" s="222"/>
    </row>
    <row r="158" spans="2:7">
      <c r="B158" s="220">
        <v>45021</v>
      </c>
      <c r="C158" s="221">
        <v>44074.311500000018</v>
      </c>
      <c r="D158" s="221">
        <v>51.940204999999985</v>
      </c>
      <c r="E158" s="221">
        <v>37.752235208333339</v>
      </c>
      <c r="F158" s="221">
        <v>0.18699607333333335</v>
      </c>
      <c r="G158" s="222"/>
    </row>
    <row r="159" spans="2:7">
      <c r="B159" s="220">
        <v>45022</v>
      </c>
      <c r="C159" s="221">
        <v>42791.380500000007</v>
      </c>
      <c r="D159" s="221">
        <v>51.790926250000005</v>
      </c>
      <c r="E159" s="221">
        <v>37.820015416666656</v>
      </c>
      <c r="F159" s="221">
        <v>0.16135667479166665</v>
      </c>
      <c r="G159" s="222"/>
    </row>
    <row r="160" spans="2:7">
      <c r="B160" s="220">
        <v>45023</v>
      </c>
      <c r="C160" s="221">
        <v>42623.892449999985</v>
      </c>
      <c r="D160" s="221">
        <v>51.845323749999999</v>
      </c>
      <c r="E160" s="221">
        <v>37.782738124999995</v>
      </c>
      <c r="F160" s="221">
        <v>0.16686425729166665</v>
      </c>
      <c r="G160" s="222"/>
    </row>
    <row r="161" spans="2:7">
      <c r="B161" s="220">
        <v>45024</v>
      </c>
      <c r="C161" s="221">
        <v>44334.998000000007</v>
      </c>
      <c r="D161" s="221">
        <v>51.91768562499999</v>
      </c>
      <c r="E161" s="221">
        <v>37.851775833333342</v>
      </c>
      <c r="F161" s="221">
        <v>0.2002105347916667</v>
      </c>
      <c r="G161" s="222"/>
    </row>
    <row r="162" spans="2:7">
      <c r="B162" s="220">
        <v>45025</v>
      </c>
      <c r="C162" s="221">
        <v>44263.661</v>
      </c>
      <c r="D162" s="221">
        <v>51.874564791666671</v>
      </c>
      <c r="E162" s="221">
        <v>37.832127916666671</v>
      </c>
      <c r="F162" s="221">
        <v>0.17795105104166664</v>
      </c>
      <c r="G162" s="222"/>
    </row>
    <row r="163" spans="2:7">
      <c r="B163" s="220">
        <v>45026</v>
      </c>
      <c r="C163" s="221">
        <v>42989.438499999989</v>
      </c>
      <c r="D163" s="221">
        <v>51.97468229166666</v>
      </c>
      <c r="E163" s="221">
        <v>37.797194999999995</v>
      </c>
      <c r="F163" s="221">
        <v>0.17061656916666665</v>
      </c>
      <c r="G163" s="222"/>
    </row>
    <row r="164" spans="2:7">
      <c r="B164" s="220">
        <v>45027</v>
      </c>
      <c r="C164" s="221">
        <v>42814.794999999998</v>
      </c>
      <c r="D164" s="221">
        <v>51.930723124999986</v>
      </c>
      <c r="E164" s="221">
        <v>37.757153541666661</v>
      </c>
      <c r="F164" s="221">
        <v>0.17425561437500001</v>
      </c>
      <c r="G164" s="222"/>
    </row>
    <row r="165" spans="2:7">
      <c r="B165" s="220">
        <v>45028</v>
      </c>
      <c r="C165" s="221">
        <v>40639.0821</v>
      </c>
      <c r="D165" s="221">
        <v>51.919623124999987</v>
      </c>
      <c r="E165" s="221">
        <v>37.708792916666667</v>
      </c>
      <c r="F165" s="221">
        <v>0.14871600874999999</v>
      </c>
      <c r="G165" s="222"/>
    </row>
    <row r="166" spans="2:7">
      <c r="B166" s="220">
        <v>45029</v>
      </c>
      <c r="C166" s="221">
        <v>42433.259350000015</v>
      </c>
      <c r="D166" s="221">
        <v>51.885720624999998</v>
      </c>
      <c r="E166" s="221">
        <v>37.819124583333327</v>
      </c>
      <c r="F166" s="221">
        <v>0.13870277354166666</v>
      </c>
      <c r="G166" s="222"/>
    </row>
    <row r="167" spans="2:7">
      <c r="B167" s="220">
        <v>45030</v>
      </c>
      <c r="C167" s="221">
        <v>42645.623149999992</v>
      </c>
      <c r="D167" s="221">
        <v>51.98259625</v>
      </c>
      <c r="E167" s="221">
        <v>37.732271250000004</v>
      </c>
      <c r="F167" s="221">
        <v>0.17063070166666669</v>
      </c>
      <c r="G167" s="222"/>
    </row>
    <row r="168" spans="2:7">
      <c r="B168" s="220">
        <v>45031</v>
      </c>
      <c r="C168" s="221">
        <v>37796.958649999993</v>
      </c>
      <c r="D168" s="221">
        <v>51.910110208333329</v>
      </c>
      <c r="E168" s="221">
        <v>37.814676874999996</v>
      </c>
      <c r="F168" s="221">
        <v>0.17454213375000002</v>
      </c>
      <c r="G168" s="222"/>
    </row>
    <row r="169" spans="2:7">
      <c r="B169" s="220">
        <v>45032</v>
      </c>
      <c r="C169" s="221">
        <v>25440.184949999999</v>
      </c>
      <c r="D169" s="221">
        <v>51.882004166666682</v>
      </c>
      <c r="E169" s="221">
        <v>37.751390416666645</v>
      </c>
      <c r="F169" s="221">
        <v>0.17664471395833328</v>
      </c>
      <c r="G169" s="222"/>
    </row>
    <row r="170" spans="2:7">
      <c r="B170" s="220">
        <v>45033</v>
      </c>
      <c r="C170" s="221">
        <v>40849.8505</v>
      </c>
      <c r="D170" s="221">
        <v>51.837893750000013</v>
      </c>
      <c r="E170" s="221">
        <v>37.735326458333326</v>
      </c>
      <c r="F170" s="221">
        <v>0.21318723312499999</v>
      </c>
      <c r="G170" s="222"/>
    </row>
    <row r="171" spans="2:7">
      <c r="B171" s="220">
        <v>45034</v>
      </c>
      <c r="C171" s="221">
        <v>40394.707999999991</v>
      </c>
      <c r="D171" s="221">
        <v>51.877299375</v>
      </c>
      <c r="E171" s="221">
        <v>37.764234583333334</v>
      </c>
      <c r="F171" s="221">
        <v>0.17359250208333335</v>
      </c>
      <c r="G171" s="222"/>
    </row>
    <row r="172" spans="2:7">
      <c r="B172" s="220">
        <v>45035</v>
      </c>
      <c r="C172" s="221">
        <v>42324.480499999998</v>
      </c>
      <c r="D172" s="221">
        <v>51.940555208333315</v>
      </c>
      <c r="E172" s="221">
        <v>37.766687291666663</v>
      </c>
      <c r="F172" s="221">
        <v>0.14633213895833336</v>
      </c>
      <c r="G172" s="222"/>
    </row>
    <row r="173" spans="2:7">
      <c r="B173" s="220">
        <v>45036</v>
      </c>
      <c r="C173" s="221">
        <v>42456.119499999993</v>
      </c>
      <c r="D173" s="221">
        <v>51.884851249999997</v>
      </c>
      <c r="E173" s="221">
        <v>37.770125624999999</v>
      </c>
      <c r="F173" s="221">
        <v>0.11507384295833335</v>
      </c>
      <c r="G173" s="222"/>
    </row>
    <row r="174" spans="2:7">
      <c r="B174" s="220">
        <v>45037</v>
      </c>
      <c r="C174" s="221">
        <v>26352.161900000003</v>
      </c>
      <c r="D174" s="221">
        <v>51.93118333333333</v>
      </c>
      <c r="E174" s="221">
        <v>37.748782083333346</v>
      </c>
      <c r="F174" s="221">
        <v>0.13963325989583333</v>
      </c>
      <c r="G174" s="222"/>
    </row>
    <row r="175" spans="2:7">
      <c r="B175" s="220">
        <v>45038</v>
      </c>
      <c r="C175" s="221">
        <v>26585.767800000005</v>
      </c>
      <c r="D175" s="221">
        <v>51.941678125000003</v>
      </c>
      <c r="E175" s="221">
        <v>37.777445833333324</v>
      </c>
      <c r="F175" s="221">
        <v>0.12449703083333341</v>
      </c>
      <c r="G175" s="222"/>
    </row>
    <row r="176" spans="2:7">
      <c r="B176" s="220">
        <v>45039</v>
      </c>
      <c r="C176" s="221">
        <v>17904.195</v>
      </c>
      <c r="D176" s="221">
        <v>51.901461250000011</v>
      </c>
      <c r="E176" s="221">
        <v>37.758313958333325</v>
      </c>
      <c r="F176" s="221">
        <v>0.42886086958333336</v>
      </c>
      <c r="G176" s="222"/>
    </row>
    <row r="177" spans="2:7">
      <c r="B177" s="220">
        <v>45040</v>
      </c>
      <c r="C177" s="221">
        <v>37180.866300000002</v>
      </c>
      <c r="D177" s="221">
        <v>51.863724999999995</v>
      </c>
      <c r="E177" s="221">
        <v>37.783853333333333</v>
      </c>
      <c r="F177" s="221">
        <v>0.22079058708333332</v>
      </c>
      <c r="G177" s="222"/>
    </row>
    <row r="178" spans="2:7">
      <c r="B178" s="220">
        <v>45041</v>
      </c>
      <c r="C178" s="221">
        <v>41454.293999999987</v>
      </c>
      <c r="D178" s="221">
        <v>51.883568958333335</v>
      </c>
      <c r="E178" s="221">
        <v>37.740131041666672</v>
      </c>
      <c r="F178" s="221">
        <v>0.17407664874999998</v>
      </c>
      <c r="G178" s="222"/>
    </row>
    <row r="179" spans="2:7">
      <c r="B179" s="220">
        <v>45042</v>
      </c>
      <c r="C179" s="221">
        <v>39507.591249999998</v>
      </c>
      <c r="D179" s="221">
        <v>51.931262291666663</v>
      </c>
      <c r="E179" s="221">
        <v>37.826779166666668</v>
      </c>
      <c r="F179" s="221">
        <v>0.19286505624999997</v>
      </c>
      <c r="G179" s="222"/>
    </row>
    <row r="180" spans="2:7">
      <c r="B180" s="220">
        <v>45043</v>
      </c>
      <c r="C180" s="221">
        <v>41372.578499999996</v>
      </c>
      <c r="D180" s="221">
        <v>51.952430833333317</v>
      </c>
      <c r="E180" s="221">
        <v>37.836387500000008</v>
      </c>
      <c r="F180" s="221">
        <v>0.12550145874999999</v>
      </c>
      <c r="G180" s="222"/>
    </row>
    <row r="181" spans="2:7">
      <c r="B181" s="220">
        <v>45044</v>
      </c>
      <c r="C181" s="221">
        <v>41146.311600000008</v>
      </c>
      <c r="D181" s="221">
        <v>51.904179374999991</v>
      </c>
      <c r="E181" s="221">
        <v>37.781016458333326</v>
      </c>
      <c r="F181" s="221">
        <v>0.15666119795833333</v>
      </c>
      <c r="G181" s="222"/>
    </row>
    <row r="182" spans="2:7">
      <c r="B182" s="220">
        <v>45045</v>
      </c>
      <c r="C182" s="221">
        <v>42557.700050000014</v>
      </c>
      <c r="D182" s="221">
        <v>51.871468749999991</v>
      </c>
      <c r="E182" s="221">
        <v>37.740337291666684</v>
      </c>
      <c r="F182" s="221">
        <v>0.17251608220833334</v>
      </c>
      <c r="G182" s="222"/>
    </row>
    <row r="183" spans="2:7">
      <c r="B183" s="220">
        <v>45046</v>
      </c>
      <c r="C183" s="221">
        <v>42052.576449999986</v>
      </c>
      <c r="D183" s="221">
        <v>51.931786041666676</v>
      </c>
      <c r="E183" s="221">
        <v>37.918052499999988</v>
      </c>
      <c r="F183" s="221">
        <v>0.42289171291666655</v>
      </c>
      <c r="G183" s="222"/>
    </row>
    <row r="184" spans="2:7">
      <c r="B184" s="220">
        <v>45047</v>
      </c>
      <c r="C184" s="221">
        <v>43134.119500000008</v>
      </c>
      <c r="D184" s="221">
        <v>49.468682500000007</v>
      </c>
      <c r="E184" s="221">
        <v>37.091783333333346</v>
      </c>
      <c r="F184" s="221">
        <v>0.23524022749999998</v>
      </c>
      <c r="G184" s="222"/>
    </row>
    <row r="185" spans="2:7">
      <c r="B185" s="220">
        <v>45048</v>
      </c>
      <c r="C185" s="221">
        <v>42698.176499999994</v>
      </c>
      <c r="D185" s="221">
        <v>49.422369791666682</v>
      </c>
      <c r="E185" s="221">
        <v>37.183360416666666</v>
      </c>
      <c r="F185" s="221">
        <v>0.1490315166666667</v>
      </c>
      <c r="G185" s="222"/>
    </row>
    <row r="186" spans="2:7">
      <c r="B186" s="220">
        <v>45049</v>
      </c>
      <c r="C186" s="221">
        <v>40611.100299999998</v>
      </c>
      <c r="D186" s="221">
        <v>49.475974583333318</v>
      </c>
      <c r="E186" s="221">
        <v>37.158273750000006</v>
      </c>
      <c r="F186" s="221">
        <v>0.14348997270833333</v>
      </c>
      <c r="G186" s="222"/>
    </row>
    <row r="187" spans="2:7">
      <c r="B187" s="220">
        <v>45050</v>
      </c>
      <c r="C187" s="221">
        <v>39587.277850000006</v>
      </c>
      <c r="D187" s="221">
        <v>49.489228333333351</v>
      </c>
      <c r="E187" s="221">
        <v>37.167149166666654</v>
      </c>
      <c r="F187" s="221">
        <v>0.14064199562500002</v>
      </c>
      <c r="G187" s="222"/>
    </row>
    <row r="188" spans="2:7">
      <c r="B188" s="220">
        <v>45051</v>
      </c>
      <c r="C188" s="221">
        <v>40824.798999999992</v>
      </c>
      <c r="D188" s="221">
        <v>49.446260208333314</v>
      </c>
      <c r="E188" s="221">
        <v>37.074090208333338</v>
      </c>
      <c r="F188" s="221">
        <v>0.13421982158333337</v>
      </c>
      <c r="G188" s="222"/>
    </row>
    <row r="189" spans="2:7">
      <c r="B189" s="220">
        <v>45052</v>
      </c>
      <c r="C189" s="221">
        <v>41809.578000000009</v>
      </c>
      <c r="D189" s="221">
        <v>49.55799479166668</v>
      </c>
      <c r="E189" s="221">
        <v>37.175937916666669</v>
      </c>
      <c r="F189" s="221">
        <v>0.13292317125</v>
      </c>
      <c r="G189" s="222"/>
    </row>
    <row r="190" spans="2:7">
      <c r="B190" s="220">
        <v>45053</v>
      </c>
      <c r="C190" s="221">
        <v>42136.400250000006</v>
      </c>
      <c r="D190" s="221">
        <v>49.482365625000007</v>
      </c>
      <c r="E190" s="221">
        <v>37.147990416666666</v>
      </c>
      <c r="F190" s="221">
        <v>0.47500730687499998</v>
      </c>
      <c r="G190" s="222"/>
    </row>
    <row r="191" spans="2:7">
      <c r="B191" s="220">
        <v>45054</v>
      </c>
      <c r="C191" s="221">
        <v>42502.831450000005</v>
      </c>
      <c r="D191" s="221">
        <v>49.552032083333337</v>
      </c>
      <c r="E191" s="221">
        <v>37.181076041666678</v>
      </c>
      <c r="F191" s="221">
        <v>0.32358331458333328</v>
      </c>
      <c r="G191" s="222"/>
    </row>
    <row r="192" spans="2:7">
      <c r="B192" s="220">
        <v>45055</v>
      </c>
      <c r="C192" s="221">
        <v>42315.310350000007</v>
      </c>
      <c r="D192" s="221">
        <v>49.502268958333339</v>
      </c>
      <c r="E192" s="221">
        <v>37.062471041666669</v>
      </c>
      <c r="F192" s="221">
        <v>0.17646692145833329</v>
      </c>
      <c r="G192" s="222"/>
    </row>
    <row r="193" spans="2:7">
      <c r="B193" s="220">
        <v>45056</v>
      </c>
      <c r="C193" s="221">
        <v>41919.894500000002</v>
      </c>
      <c r="D193" s="221">
        <v>49.551794166666667</v>
      </c>
      <c r="E193" s="221">
        <v>37.097494166666664</v>
      </c>
      <c r="F193" s="221">
        <v>0.17889312333333329</v>
      </c>
      <c r="G193" s="222"/>
    </row>
    <row r="194" spans="2:7">
      <c r="B194" s="220">
        <v>45057</v>
      </c>
      <c r="C194" s="221">
        <v>40630.102200000008</v>
      </c>
      <c r="D194" s="221">
        <v>49.44425958333332</v>
      </c>
      <c r="E194" s="221">
        <v>37.07487020833333</v>
      </c>
      <c r="F194" s="221">
        <v>0.17406082645833335</v>
      </c>
      <c r="G194" s="222"/>
    </row>
    <row r="195" spans="2:7">
      <c r="B195" s="220">
        <v>45058</v>
      </c>
      <c r="C195" s="221">
        <v>41310.500999999997</v>
      </c>
      <c r="D195" s="221">
        <v>49.573273541666659</v>
      </c>
      <c r="E195" s="221">
        <v>37.03148041666666</v>
      </c>
      <c r="F195" s="221">
        <v>0.15424364666666662</v>
      </c>
      <c r="G195" s="222"/>
    </row>
    <row r="196" spans="2:7">
      <c r="B196" s="220">
        <v>45059</v>
      </c>
      <c r="C196" s="221">
        <v>43748.598000000005</v>
      </c>
      <c r="D196" s="221">
        <v>49.516244166666645</v>
      </c>
      <c r="E196" s="221">
        <v>37.158418333333337</v>
      </c>
      <c r="F196" s="221">
        <v>0.16173877291666663</v>
      </c>
      <c r="G196" s="222"/>
    </row>
    <row r="197" spans="2:7">
      <c r="B197" s="220">
        <v>45060</v>
      </c>
      <c r="C197" s="221">
        <v>29599.508149999998</v>
      </c>
      <c r="D197" s="221">
        <v>49.46796770833334</v>
      </c>
      <c r="E197" s="221">
        <v>37.106305833333337</v>
      </c>
      <c r="F197" s="221">
        <v>0.45037671458333345</v>
      </c>
      <c r="G197" s="222"/>
    </row>
    <row r="198" spans="2:7">
      <c r="B198" s="220">
        <v>45061</v>
      </c>
      <c r="C198" s="221">
        <v>42159.732499999991</v>
      </c>
      <c r="D198" s="221">
        <v>49.531339166666676</v>
      </c>
      <c r="E198" s="221">
        <v>37.080156874999993</v>
      </c>
      <c r="F198" s="221">
        <v>0.34882048958333334</v>
      </c>
      <c r="G198" s="222"/>
    </row>
    <row r="199" spans="2:7">
      <c r="B199" s="220">
        <v>45062</v>
      </c>
      <c r="C199" s="221">
        <v>41675.708499999993</v>
      </c>
      <c r="D199" s="221">
        <v>49.503025624999999</v>
      </c>
      <c r="E199" s="221">
        <v>37.107623749999995</v>
      </c>
      <c r="F199" s="221">
        <v>0.24860270916666663</v>
      </c>
      <c r="G199" s="222"/>
    </row>
    <row r="200" spans="2:7">
      <c r="B200" s="220">
        <v>45063</v>
      </c>
      <c r="C200" s="221">
        <v>39840.135649999989</v>
      </c>
      <c r="D200" s="221">
        <v>49.521259374999978</v>
      </c>
      <c r="E200" s="221">
        <v>37.095724583333336</v>
      </c>
      <c r="F200" s="221">
        <v>0.3981744435416667</v>
      </c>
      <c r="G200" s="222"/>
    </row>
    <row r="201" spans="2:7">
      <c r="B201" s="220">
        <v>45064</v>
      </c>
      <c r="C201" s="221">
        <v>37524.951500000003</v>
      </c>
      <c r="D201" s="221">
        <v>49.606679375000006</v>
      </c>
      <c r="E201" s="221">
        <v>37.078371458333343</v>
      </c>
      <c r="F201" s="221">
        <v>0.27460776250000002</v>
      </c>
      <c r="G201" s="222"/>
    </row>
    <row r="202" spans="2:7">
      <c r="B202" s="220">
        <v>45065</v>
      </c>
      <c r="C202" s="221">
        <v>44705.537000000018</v>
      </c>
      <c r="D202" s="221">
        <v>49.466050625000008</v>
      </c>
      <c r="E202" s="221">
        <v>37.132815416666659</v>
      </c>
      <c r="F202" s="221">
        <v>0.19979141291666661</v>
      </c>
      <c r="G202" s="222"/>
    </row>
    <row r="203" spans="2:7">
      <c r="B203" s="220">
        <v>45066</v>
      </c>
      <c r="C203" s="221">
        <v>45424.333000000013</v>
      </c>
      <c r="D203" s="221">
        <v>49.502230208333337</v>
      </c>
      <c r="E203" s="221">
        <v>37.065189375000003</v>
      </c>
      <c r="F203" s="221">
        <v>0.17965386979166664</v>
      </c>
      <c r="G203" s="222"/>
    </row>
    <row r="204" spans="2:7">
      <c r="B204" s="220">
        <v>45067</v>
      </c>
      <c r="C204" s="221">
        <v>31937.608500000002</v>
      </c>
      <c r="D204" s="221">
        <v>49.497047083333321</v>
      </c>
      <c r="E204" s="221">
        <v>37.115641249999982</v>
      </c>
      <c r="F204" s="221">
        <v>0.45345957958333333</v>
      </c>
      <c r="G204" s="222"/>
    </row>
    <row r="205" spans="2:7">
      <c r="B205" s="220">
        <v>45068</v>
      </c>
      <c r="C205" s="221">
        <v>43971.189000000006</v>
      </c>
      <c r="D205" s="221">
        <v>49.495764999999999</v>
      </c>
      <c r="E205" s="221">
        <v>37.197698125000002</v>
      </c>
      <c r="F205" s="221">
        <v>0.40112290833333325</v>
      </c>
      <c r="G205" s="222"/>
    </row>
    <row r="206" spans="2:7">
      <c r="B206" s="220">
        <v>45069</v>
      </c>
      <c r="C206" s="221">
        <v>45664.638499999994</v>
      </c>
      <c r="D206" s="221">
        <v>49.521729166666667</v>
      </c>
      <c r="E206" s="221">
        <v>37.04469395833334</v>
      </c>
      <c r="F206" s="221">
        <v>0.21682988208333329</v>
      </c>
      <c r="G206" s="222"/>
    </row>
    <row r="207" spans="2:7">
      <c r="B207" s="220">
        <v>45070</v>
      </c>
      <c r="C207" s="221">
        <v>40291.834999999992</v>
      </c>
      <c r="D207" s="221">
        <v>49.472729791666659</v>
      </c>
      <c r="E207" s="221">
        <v>37.100882499999997</v>
      </c>
      <c r="F207" s="221">
        <v>0.20025962750000004</v>
      </c>
      <c r="G207" s="222"/>
    </row>
    <row r="208" spans="2:7">
      <c r="B208" s="220">
        <v>45071</v>
      </c>
      <c r="C208" s="221">
        <v>41185.796499999975</v>
      </c>
      <c r="D208" s="221">
        <v>49.577270416666657</v>
      </c>
      <c r="E208" s="221">
        <v>37.061457499999996</v>
      </c>
      <c r="F208" s="221">
        <v>0.19855829166666669</v>
      </c>
      <c r="G208" s="222"/>
    </row>
    <row r="209" spans="2:7">
      <c r="B209" s="220">
        <v>45072</v>
      </c>
      <c r="C209" s="221">
        <v>43139.172999999995</v>
      </c>
      <c r="D209" s="221">
        <v>49.498294166666682</v>
      </c>
      <c r="E209" s="221">
        <v>37.158451666666679</v>
      </c>
      <c r="F209" s="221">
        <v>0.18150952916666663</v>
      </c>
      <c r="G209" s="222"/>
    </row>
    <row r="210" spans="2:7">
      <c r="B210" s="220">
        <v>45073</v>
      </c>
      <c r="C210" s="221">
        <v>43961.655499999993</v>
      </c>
      <c r="D210" s="221">
        <v>49.488367291666663</v>
      </c>
      <c r="E210" s="221">
        <v>37.147387083333328</v>
      </c>
      <c r="F210" s="221">
        <v>0.18027209916666667</v>
      </c>
      <c r="G210" s="222"/>
    </row>
    <row r="211" spans="2:7">
      <c r="B211" s="220">
        <v>45074</v>
      </c>
      <c r="C211" s="221">
        <v>17419.335349999998</v>
      </c>
      <c r="D211" s="221">
        <v>49.556110000000011</v>
      </c>
      <c r="E211" s="221">
        <v>37.113818333333334</v>
      </c>
      <c r="F211" s="221">
        <v>0.48108442354166675</v>
      </c>
      <c r="G211" s="222"/>
    </row>
    <row r="212" spans="2:7">
      <c r="B212" s="220">
        <v>45075</v>
      </c>
      <c r="C212" s="221">
        <v>43041.129500000003</v>
      </c>
      <c r="D212" s="221">
        <v>49.472057916666671</v>
      </c>
      <c r="E212" s="221">
        <v>37.062779374999998</v>
      </c>
      <c r="F212" s="221">
        <v>0.40889869166666676</v>
      </c>
      <c r="G212" s="222"/>
    </row>
    <row r="213" spans="2:7">
      <c r="B213" s="220">
        <v>45076</v>
      </c>
      <c r="C213" s="221">
        <v>45816.467500000006</v>
      </c>
      <c r="D213" s="221">
        <v>49.465275416666678</v>
      </c>
      <c r="E213" s="221">
        <v>37.1624075</v>
      </c>
      <c r="F213" s="221">
        <v>0.24326310187499997</v>
      </c>
      <c r="G213" s="222"/>
    </row>
    <row r="214" spans="2:7">
      <c r="B214" s="220">
        <v>45077</v>
      </c>
      <c r="C214" s="221">
        <v>45808.917000000001</v>
      </c>
      <c r="D214" s="221">
        <v>49.522962499999998</v>
      </c>
      <c r="E214" s="221">
        <v>37.064359374999981</v>
      </c>
      <c r="F214" s="221">
        <v>0.20684669229166663</v>
      </c>
      <c r="G214" s="222"/>
    </row>
    <row r="215" spans="2:7">
      <c r="B215" s="220">
        <v>45078</v>
      </c>
      <c r="C215" s="221">
        <v>44090.515999999996</v>
      </c>
      <c r="D215" s="221">
        <v>49.425783124999981</v>
      </c>
      <c r="E215" s="221">
        <v>38.096486666666678</v>
      </c>
      <c r="F215" s="221">
        <v>0.21307388770833327</v>
      </c>
      <c r="G215" s="222"/>
    </row>
    <row r="216" spans="2:7">
      <c r="B216" s="220">
        <v>45079</v>
      </c>
      <c r="C216" s="221">
        <v>44641.2405</v>
      </c>
      <c r="D216" s="221">
        <v>49.447031250000002</v>
      </c>
      <c r="E216" s="221">
        <v>38.034217708333323</v>
      </c>
      <c r="F216" s="221">
        <v>0.18955389062500003</v>
      </c>
      <c r="G216" s="222"/>
    </row>
    <row r="217" spans="2:7">
      <c r="B217" s="220">
        <v>45080</v>
      </c>
      <c r="C217" s="221">
        <v>45971.021000000001</v>
      </c>
      <c r="D217" s="221">
        <v>49.42220249999999</v>
      </c>
      <c r="E217" s="221">
        <v>38.031515416666664</v>
      </c>
      <c r="F217" s="221">
        <v>0.24884719458333335</v>
      </c>
      <c r="G217" s="222"/>
    </row>
    <row r="218" spans="2:7">
      <c r="B218" s="220">
        <v>45081</v>
      </c>
      <c r="C218" s="221">
        <v>23873.152100000003</v>
      </c>
      <c r="D218" s="221">
        <v>49.469015208333339</v>
      </c>
      <c r="E218" s="221">
        <v>37.990716041666658</v>
      </c>
      <c r="F218" s="221">
        <v>0.52571600625000003</v>
      </c>
      <c r="G218" s="222"/>
    </row>
    <row r="219" spans="2:7">
      <c r="B219" s="220">
        <v>45082</v>
      </c>
      <c r="C219" s="221">
        <v>42024.511100000003</v>
      </c>
      <c r="D219" s="221">
        <v>49.431525624999999</v>
      </c>
      <c r="E219" s="221">
        <v>38.101406250000004</v>
      </c>
      <c r="F219" s="221">
        <v>0.39943833854166666</v>
      </c>
      <c r="G219" s="222"/>
    </row>
    <row r="220" spans="2:7">
      <c r="B220" s="220">
        <v>45083</v>
      </c>
      <c r="C220" s="221">
        <v>43915.942499999997</v>
      </c>
      <c r="D220" s="221">
        <v>49.453755416666688</v>
      </c>
      <c r="E220" s="221">
        <v>38.05873062500001</v>
      </c>
      <c r="F220" s="221">
        <v>0.24737937291666656</v>
      </c>
      <c r="G220" s="222"/>
    </row>
    <row r="221" spans="2:7">
      <c r="B221" s="220">
        <v>45084</v>
      </c>
      <c r="C221" s="221">
        <v>45823.280000000021</v>
      </c>
      <c r="D221" s="221">
        <v>49.405762916666667</v>
      </c>
      <c r="E221" s="221">
        <v>38.022824374999999</v>
      </c>
      <c r="F221" s="221">
        <v>0.20780230791666673</v>
      </c>
      <c r="G221" s="222"/>
    </row>
    <row r="222" spans="2:7">
      <c r="B222" s="220">
        <v>45085</v>
      </c>
      <c r="C222" s="221">
        <v>46492.564000000013</v>
      </c>
      <c r="D222" s="221">
        <v>49.415768333333311</v>
      </c>
      <c r="E222" s="221">
        <v>38.036867500000007</v>
      </c>
      <c r="F222" s="221">
        <v>0.22584326875000005</v>
      </c>
      <c r="G222" s="222"/>
    </row>
    <row r="223" spans="2:7">
      <c r="B223" s="220">
        <v>45086</v>
      </c>
      <c r="C223" s="221">
        <v>44315.719049999992</v>
      </c>
      <c r="D223" s="221">
        <v>49.539906250000008</v>
      </c>
      <c r="E223" s="221">
        <v>38.107448749999996</v>
      </c>
      <c r="F223" s="221">
        <v>0.30354911687500008</v>
      </c>
      <c r="G223" s="222"/>
    </row>
    <row r="224" spans="2:7">
      <c r="B224" s="220">
        <v>45087</v>
      </c>
      <c r="C224" s="221">
        <v>46488.576499999981</v>
      </c>
      <c r="D224" s="221">
        <v>49.48948708333333</v>
      </c>
      <c r="E224" s="221">
        <v>38.124500833333336</v>
      </c>
      <c r="F224" s="221">
        <v>0.22466518395833332</v>
      </c>
      <c r="G224" s="222"/>
    </row>
    <row r="225" spans="2:7">
      <c r="B225" s="220">
        <v>45088</v>
      </c>
      <c r="C225" s="221">
        <v>41740.906999999992</v>
      </c>
      <c r="D225" s="221">
        <v>49.432490416666674</v>
      </c>
      <c r="E225" s="221">
        <v>38.078442916666667</v>
      </c>
      <c r="F225" s="221">
        <v>0.5479570270833336</v>
      </c>
      <c r="G225" s="222"/>
    </row>
    <row r="226" spans="2:7">
      <c r="B226" s="220">
        <v>45089</v>
      </c>
      <c r="C226" s="221">
        <v>45925.629499999988</v>
      </c>
      <c r="D226" s="221">
        <v>49.447989583333332</v>
      </c>
      <c r="E226" s="221">
        <v>38.038981874999998</v>
      </c>
      <c r="F226" s="221">
        <v>0.49817495416666663</v>
      </c>
      <c r="G226" s="222"/>
    </row>
    <row r="227" spans="2:7">
      <c r="B227" s="220">
        <v>45090</v>
      </c>
      <c r="C227" s="221">
        <v>47120.559500000003</v>
      </c>
      <c r="D227" s="221">
        <v>49.510347916666667</v>
      </c>
      <c r="E227" s="221">
        <v>38.102351458333338</v>
      </c>
      <c r="F227" s="221">
        <v>0.28726104583333339</v>
      </c>
      <c r="G227" s="222"/>
    </row>
    <row r="228" spans="2:7">
      <c r="B228" s="220">
        <v>45091</v>
      </c>
      <c r="C228" s="221">
        <v>44747.45229999999</v>
      </c>
      <c r="D228" s="221">
        <v>49.415231666666664</v>
      </c>
      <c r="E228" s="221">
        <v>38.044513125000009</v>
      </c>
      <c r="F228" s="221">
        <v>0.23150114625000009</v>
      </c>
      <c r="G228" s="222"/>
    </row>
    <row r="229" spans="2:7">
      <c r="B229" s="220">
        <v>45092</v>
      </c>
      <c r="C229" s="221">
        <v>41726.128949999984</v>
      </c>
      <c r="D229" s="221">
        <v>49.478750625000011</v>
      </c>
      <c r="E229" s="221">
        <v>38.033823541666671</v>
      </c>
      <c r="F229" s="221">
        <v>0.22479527291666668</v>
      </c>
      <c r="G229" s="222"/>
    </row>
    <row r="230" spans="2:7">
      <c r="B230" s="220">
        <v>45093</v>
      </c>
      <c r="C230" s="221">
        <v>45395.912000000011</v>
      </c>
      <c r="D230" s="221">
        <v>49.466398958333336</v>
      </c>
      <c r="E230" s="221">
        <v>37.997440624999996</v>
      </c>
      <c r="F230" s="221">
        <v>0.24126462979166666</v>
      </c>
      <c r="G230" s="222"/>
    </row>
    <row r="231" spans="2:7">
      <c r="B231" s="220">
        <v>45094</v>
      </c>
      <c r="C231" s="221">
        <v>36422.230950000005</v>
      </c>
      <c r="D231" s="221">
        <v>49.465666041666672</v>
      </c>
      <c r="E231" s="221">
        <v>38.095917291666673</v>
      </c>
      <c r="F231" s="221">
        <v>0.2758379062500001</v>
      </c>
      <c r="G231" s="222"/>
    </row>
    <row r="232" spans="2:7">
      <c r="B232" s="220">
        <v>45095</v>
      </c>
      <c r="C232" s="221">
        <v>42060.545550000003</v>
      </c>
      <c r="D232" s="221">
        <v>49.462484166666663</v>
      </c>
      <c r="E232" s="221">
        <v>38.064067291666667</v>
      </c>
      <c r="F232" s="221">
        <v>0.53157614583333335</v>
      </c>
      <c r="G232" s="222"/>
    </row>
    <row r="233" spans="2:7">
      <c r="B233" s="220">
        <v>45096</v>
      </c>
      <c r="C233" s="221">
        <v>44670.94999999999</v>
      </c>
      <c r="D233" s="221">
        <v>49.485396041666661</v>
      </c>
      <c r="E233" s="221">
        <v>38.085926041666653</v>
      </c>
      <c r="F233" s="221">
        <v>0.45705652291666654</v>
      </c>
      <c r="G233" s="222"/>
    </row>
    <row r="234" spans="2:7">
      <c r="B234" s="220">
        <v>45097</v>
      </c>
      <c r="C234" s="221">
        <v>43547.812499999993</v>
      </c>
      <c r="D234" s="221">
        <v>49.477698958333342</v>
      </c>
      <c r="E234" s="221">
        <v>38.017452291666658</v>
      </c>
      <c r="F234" s="221">
        <v>0.32468645416666675</v>
      </c>
      <c r="G234" s="222"/>
    </row>
    <row r="235" spans="2:7">
      <c r="B235" s="220">
        <v>45098</v>
      </c>
      <c r="C235" s="221">
        <v>44468.297849999995</v>
      </c>
      <c r="D235" s="221">
        <v>49.454963333333332</v>
      </c>
      <c r="E235" s="221">
        <v>38.090714791666663</v>
      </c>
      <c r="F235" s="221">
        <v>0.29160332520833326</v>
      </c>
      <c r="G235" s="222"/>
    </row>
    <row r="236" spans="2:7">
      <c r="B236" s="220">
        <v>45099</v>
      </c>
      <c r="C236" s="221">
        <v>42099.38265</v>
      </c>
      <c r="D236" s="221">
        <v>49.472619583333334</v>
      </c>
      <c r="E236" s="221">
        <v>38.037966250000011</v>
      </c>
      <c r="F236" s="221">
        <v>0.2680923270833333</v>
      </c>
      <c r="G236" s="222"/>
    </row>
    <row r="237" spans="2:7">
      <c r="B237" s="220">
        <v>45100</v>
      </c>
      <c r="C237" s="221">
        <v>43027.051499999994</v>
      </c>
      <c r="D237" s="221">
        <v>49.476671458333307</v>
      </c>
      <c r="E237" s="221">
        <v>38.048809999999989</v>
      </c>
      <c r="F237" s="221">
        <v>0.24041590374999991</v>
      </c>
      <c r="G237" s="222"/>
    </row>
    <row r="238" spans="2:7">
      <c r="B238" s="220">
        <v>45101</v>
      </c>
      <c r="C238" s="221">
        <v>42904.722799999996</v>
      </c>
      <c r="D238" s="221">
        <v>49.396512708333347</v>
      </c>
      <c r="E238" s="221">
        <v>37.997854166666663</v>
      </c>
      <c r="F238" s="221">
        <v>0.24117406875000003</v>
      </c>
      <c r="G238" s="222"/>
    </row>
    <row r="239" spans="2:7">
      <c r="B239" s="220">
        <v>45102</v>
      </c>
      <c r="C239" s="221">
        <v>42456.836399999993</v>
      </c>
      <c r="D239" s="221">
        <v>49.478520416666669</v>
      </c>
      <c r="E239" s="221">
        <v>38.079709999999999</v>
      </c>
      <c r="F239" s="221">
        <v>0.45480621458333342</v>
      </c>
      <c r="G239" s="222"/>
    </row>
    <row r="240" spans="2:7">
      <c r="B240" s="220">
        <v>45103</v>
      </c>
      <c r="C240" s="221">
        <v>44537.82699999999</v>
      </c>
      <c r="D240" s="221">
        <v>49.447515833333334</v>
      </c>
      <c r="E240" s="221">
        <v>38.080778750000007</v>
      </c>
      <c r="F240" s="221">
        <v>0.48260467291666664</v>
      </c>
      <c r="G240" s="222"/>
    </row>
    <row r="241" spans="2:7">
      <c r="B241" s="220">
        <v>45104</v>
      </c>
      <c r="C241" s="221">
        <v>33310.012849999992</v>
      </c>
      <c r="D241" s="221">
        <v>49.483461458333345</v>
      </c>
      <c r="E241" s="221">
        <v>38.005225416666669</v>
      </c>
      <c r="F241" s="221">
        <v>0.26355221249999999</v>
      </c>
      <c r="G241" s="222"/>
    </row>
    <row r="242" spans="2:7">
      <c r="B242" s="220">
        <v>45105</v>
      </c>
      <c r="C242" s="221">
        <v>30599.227149999999</v>
      </c>
      <c r="D242" s="221">
        <v>49.443985625000003</v>
      </c>
      <c r="E242" s="221">
        <v>38.067533958333321</v>
      </c>
      <c r="F242" s="221">
        <v>0.483339725</v>
      </c>
      <c r="G242" s="222"/>
    </row>
    <row r="243" spans="2:7">
      <c r="B243" s="220">
        <v>45106</v>
      </c>
      <c r="C243" s="221">
        <v>43293.44400000001</v>
      </c>
      <c r="D243" s="221">
        <v>49.470054583333336</v>
      </c>
      <c r="E243" s="221">
        <v>38.032110833333334</v>
      </c>
      <c r="F243" s="221">
        <v>0.39183762500000002</v>
      </c>
      <c r="G243" s="222"/>
    </row>
    <row r="244" spans="2:7">
      <c r="B244" s="220">
        <v>45107</v>
      </c>
      <c r="C244" s="221">
        <v>26437.060999999998</v>
      </c>
      <c r="D244" s="221">
        <v>49.587576249999991</v>
      </c>
      <c r="E244" s="221">
        <v>38.055634791666655</v>
      </c>
      <c r="F244" s="221">
        <v>0.31917716458333334</v>
      </c>
      <c r="G244" s="222"/>
    </row>
    <row r="245" spans="2:7">
      <c r="B245" s="220">
        <v>45108</v>
      </c>
      <c r="C245" s="221">
        <v>42848.151499999993</v>
      </c>
      <c r="D245" s="221">
        <v>49.314054375000005</v>
      </c>
      <c r="E245" s="221">
        <v>38.653507708333329</v>
      </c>
      <c r="F245" s="221">
        <v>0.3671754354166667</v>
      </c>
      <c r="G245" s="222"/>
    </row>
    <row r="246" spans="2:7">
      <c r="B246" s="220">
        <v>45109</v>
      </c>
      <c r="C246" s="221">
        <v>44668.558999999994</v>
      </c>
      <c r="D246" s="221">
        <v>49.265254791666671</v>
      </c>
      <c r="E246" s="221">
        <v>38.636241250000005</v>
      </c>
      <c r="F246" s="221">
        <v>0.49690472708333328</v>
      </c>
      <c r="G246" s="222"/>
    </row>
    <row r="247" spans="2:7">
      <c r="B247" s="220">
        <v>45110</v>
      </c>
      <c r="C247" s="221">
        <v>46312.3105</v>
      </c>
      <c r="D247" s="221">
        <v>49.360774375000005</v>
      </c>
      <c r="E247" s="221">
        <v>38.662237916666676</v>
      </c>
      <c r="F247" s="221">
        <v>0.40811190625000004</v>
      </c>
      <c r="G247" s="222"/>
    </row>
    <row r="248" spans="2:7">
      <c r="B248" s="220">
        <v>45111</v>
      </c>
      <c r="C248" s="221">
        <v>44067.791600000011</v>
      </c>
      <c r="D248" s="221">
        <v>49.342796458333332</v>
      </c>
      <c r="E248" s="221">
        <v>38.591708333333337</v>
      </c>
      <c r="F248" s="221">
        <v>0.25818751458333333</v>
      </c>
      <c r="G248" s="222"/>
    </row>
    <row r="249" spans="2:7">
      <c r="B249" s="220">
        <v>45112</v>
      </c>
      <c r="C249" s="221">
        <v>46686.543499999985</v>
      </c>
      <c r="D249" s="221">
        <v>49.373139166666682</v>
      </c>
      <c r="E249" s="221">
        <v>38.612112083333329</v>
      </c>
      <c r="F249" s="221">
        <v>0.22917039916666668</v>
      </c>
      <c r="G249" s="222"/>
    </row>
    <row r="250" spans="2:7">
      <c r="B250" s="220">
        <v>45113</v>
      </c>
      <c r="C250" s="221">
        <v>46174.486499999992</v>
      </c>
      <c r="D250" s="221">
        <v>49.301191875000001</v>
      </c>
      <c r="E250" s="221">
        <v>38.590701041666662</v>
      </c>
      <c r="F250" s="221">
        <v>0.16968900791666666</v>
      </c>
      <c r="G250" s="222"/>
    </row>
    <row r="251" spans="2:7">
      <c r="B251" s="220">
        <v>45114</v>
      </c>
      <c r="C251" s="221">
        <v>43208.147999999986</v>
      </c>
      <c r="D251" s="221">
        <v>49.352704999999993</v>
      </c>
      <c r="E251" s="221">
        <v>38.597289791666668</v>
      </c>
      <c r="F251" s="221">
        <v>0.18402386958333328</v>
      </c>
      <c r="G251" s="222"/>
    </row>
    <row r="252" spans="2:7">
      <c r="B252" s="220">
        <v>45115</v>
      </c>
      <c r="C252" s="221">
        <v>33859.243949999996</v>
      </c>
      <c r="D252" s="221">
        <v>49.364835416666658</v>
      </c>
      <c r="E252" s="221">
        <v>38.63487687500001</v>
      </c>
      <c r="F252" s="221">
        <v>0.15648560083333335</v>
      </c>
      <c r="G252" s="222"/>
    </row>
    <row r="253" spans="2:7">
      <c r="B253" s="220">
        <v>45116</v>
      </c>
      <c r="C253" s="221">
        <v>38428.901600000012</v>
      </c>
      <c r="D253" s="221">
        <v>49.359324583333347</v>
      </c>
      <c r="E253" s="221">
        <v>38.619069166666662</v>
      </c>
      <c r="F253" s="221">
        <v>0.45812235875000012</v>
      </c>
      <c r="G253" s="222"/>
    </row>
    <row r="254" spans="2:7">
      <c r="B254" s="220">
        <v>45117</v>
      </c>
      <c r="C254" s="221">
        <v>41662.884000000013</v>
      </c>
      <c r="D254" s="221">
        <v>49.355575416666674</v>
      </c>
      <c r="E254" s="221">
        <v>38.667638749999988</v>
      </c>
      <c r="F254" s="221">
        <v>0.3865942729166667</v>
      </c>
      <c r="G254" s="222"/>
    </row>
    <row r="255" spans="2:7">
      <c r="B255" s="220">
        <v>45118</v>
      </c>
      <c r="C255" s="221">
        <v>42644.351000000002</v>
      </c>
      <c r="D255" s="221">
        <v>49.391919583333326</v>
      </c>
      <c r="E255" s="221">
        <v>38.583230416666687</v>
      </c>
      <c r="F255" s="221">
        <v>0.28460657499999997</v>
      </c>
      <c r="G255" s="222"/>
    </row>
    <row r="256" spans="2:7">
      <c r="B256" s="220">
        <v>45119</v>
      </c>
      <c r="C256" s="221">
        <v>43592.555499999995</v>
      </c>
      <c r="D256" s="221">
        <v>49.42136374999999</v>
      </c>
      <c r="E256" s="221">
        <v>38.57057270833333</v>
      </c>
      <c r="F256" s="221">
        <v>0.26389356958333338</v>
      </c>
      <c r="G256" s="222"/>
    </row>
    <row r="257" spans="2:7">
      <c r="B257" s="220">
        <v>45120</v>
      </c>
      <c r="C257" s="221">
        <v>41295.643499999998</v>
      </c>
      <c r="D257" s="221">
        <v>49.341607916666675</v>
      </c>
      <c r="E257" s="221">
        <v>38.613711875</v>
      </c>
      <c r="F257" s="221">
        <v>0.26456955208333327</v>
      </c>
      <c r="G257" s="222"/>
    </row>
    <row r="258" spans="2:7">
      <c r="B258" s="220">
        <v>45121</v>
      </c>
      <c r="C258" s="221">
        <v>40878.464</v>
      </c>
      <c r="D258" s="221">
        <v>49.317448541666664</v>
      </c>
      <c r="E258" s="221">
        <v>38.633263541666665</v>
      </c>
      <c r="F258" s="221">
        <v>0.20687156520833336</v>
      </c>
      <c r="G258" s="222"/>
    </row>
    <row r="259" spans="2:7">
      <c r="B259" s="220">
        <v>45122</v>
      </c>
      <c r="C259" s="221">
        <v>41586.411500000017</v>
      </c>
      <c r="D259" s="221">
        <v>49.38599979166667</v>
      </c>
      <c r="E259" s="221">
        <v>38.612152083333321</v>
      </c>
      <c r="F259" s="221">
        <v>0.23310166249999989</v>
      </c>
      <c r="G259" s="222"/>
    </row>
    <row r="260" spans="2:7">
      <c r="B260" s="220">
        <v>45123</v>
      </c>
      <c r="C260" s="221">
        <v>43437.547500000001</v>
      </c>
      <c r="D260" s="221">
        <v>49.413745208333324</v>
      </c>
      <c r="E260" s="221">
        <v>38.570228541666673</v>
      </c>
      <c r="F260" s="221">
        <v>0.44519955416666668</v>
      </c>
      <c r="G260" s="222"/>
    </row>
    <row r="261" spans="2:7">
      <c r="B261" s="220">
        <v>45124</v>
      </c>
      <c r="C261" s="221">
        <v>43983.5815</v>
      </c>
      <c r="D261" s="221">
        <v>49.383270208333336</v>
      </c>
      <c r="E261" s="221">
        <v>38.62251375000001</v>
      </c>
      <c r="F261" s="221">
        <v>0.35299014166666676</v>
      </c>
      <c r="G261" s="222"/>
    </row>
    <row r="262" spans="2:7">
      <c r="B262" s="220">
        <v>45125</v>
      </c>
      <c r="C262" s="221">
        <v>43837.509999999995</v>
      </c>
      <c r="D262" s="221">
        <v>49.398939166666651</v>
      </c>
      <c r="E262" s="221">
        <v>38.711102916666668</v>
      </c>
      <c r="F262" s="221">
        <v>0.24491387708333331</v>
      </c>
      <c r="G262" s="222"/>
    </row>
    <row r="263" spans="2:7">
      <c r="B263" s="220">
        <v>45126</v>
      </c>
      <c r="C263" s="221">
        <v>43561.897000000004</v>
      </c>
      <c r="D263" s="221">
        <v>49.339511874999999</v>
      </c>
      <c r="E263" s="221">
        <v>38.652569374999999</v>
      </c>
      <c r="F263" s="221">
        <v>0.22681904479166667</v>
      </c>
      <c r="G263" s="222"/>
    </row>
    <row r="264" spans="2:7">
      <c r="B264" s="220">
        <v>45127</v>
      </c>
      <c r="C264" s="221">
        <v>39443.303599999992</v>
      </c>
      <c r="D264" s="221">
        <v>49.317080624999996</v>
      </c>
      <c r="E264" s="221">
        <v>38.632205000000006</v>
      </c>
      <c r="F264" s="221">
        <v>0.24644555624999998</v>
      </c>
      <c r="G264" s="222"/>
    </row>
    <row r="265" spans="2:7">
      <c r="B265" s="220">
        <v>45128</v>
      </c>
      <c r="C265" s="221">
        <v>41787.856500000009</v>
      </c>
      <c r="D265" s="221">
        <v>49.401166458333329</v>
      </c>
      <c r="E265" s="221">
        <v>38.604919166666683</v>
      </c>
      <c r="F265" s="221">
        <v>0.23949746854166673</v>
      </c>
      <c r="G265" s="222"/>
    </row>
    <row r="266" spans="2:7">
      <c r="B266" s="220">
        <v>45129</v>
      </c>
      <c r="C266" s="221">
        <v>45207.88150000001</v>
      </c>
      <c r="D266" s="221">
        <v>49.301339791666663</v>
      </c>
      <c r="E266" s="221">
        <v>38.580552083333323</v>
      </c>
      <c r="F266" s="221">
        <v>0.2737170258333334</v>
      </c>
      <c r="G266" s="222"/>
    </row>
    <row r="267" spans="2:7">
      <c r="B267" s="220">
        <v>45130</v>
      </c>
      <c r="C267" s="221">
        <v>46686.285499999998</v>
      </c>
      <c r="D267" s="221">
        <v>49.375505833333328</v>
      </c>
      <c r="E267" s="221">
        <v>38.636296875000006</v>
      </c>
      <c r="F267" s="221">
        <v>0.43657189210416658</v>
      </c>
      <c r="G267" s="222"/>
    </row>
    <row r="268" spans="2:7">
      <c r="B268" s="220">
        <v>45131</v>
      </c>
      <c r="C268" s="221">
        <v>47327.436500000018</v>
      </c>
      <c r="D268" s="221">
        <v>49.339955000000003</v>
      </c>
      <c r="E268" s="221">
        <v>38.516706666666657</v>
      </c>
      <c r="F268" s="221">
        <v>0.41631085416666691</v>
      </c>
      <c r="G268" s="222"/>
    </row>
    <row r="269" spans="2:7">
      <c r="B269" s="220">
        <v>45132</v>
      </c>
      <c r="C269" s="221">
        <v>44334.404999999992</v>
      </c>
      <c r="D269" s="221">
        <v>49.310248958333339</v>
      </c>
      <c r="E269" s="221">
        <v>38.646311458333344</v>
      </c>
      <c r="F269" s="221">
        <v>0.27343468541666666</v>
      </c>
      <c r="G269" s="222"/>
    </row>
    <row r="270" spans="2:7">
      <c r="B270" s="220">
        <v>45133</v>
      </c>
      <c r="C270" s="221">
        <v>42316.678499999995</v>
      </c>
      <c r="D270" s="221">
        <v>49.325388124999996</v>
      </c>
      <c r="E270" s="221">
        <v>38.710487708333325</v>
      </c>
      <c r="F270" s="221">
        <v>0.29889352916666662</v>
      </c>
      <c r="G270" s="222"/>
    </row>
    <row r="271" spans="2:7">
      <c r="B271" s="220">
        <v>45134</v>
      </c>
      <c r="C271" s="221">
        <v>44816.393499999998</v>
      </c>
      <c r="D271" s="221">
        <v>49.356266249999997</v>
      </c>
      <c r="E271" s="221">
        <v>38.598252500000001</v>
      </c>
      <c r="F271" s="221">
        <v>0.23371897729166671</v>
      </c>
      <c r="G271" s="222"/>
    </row>
    <row r="272" spans="2:7">
      <c r="B272" s="220">
        <v>45135</v>
      </c>
      <c r="C272" s="221">
        <v>44597.431000000011</v>
      </c>
      <c r="D272" s="221">
        <v>49.458298750000012</v>
      </c>
      <c r="E272" s="221">
        <v>38.601265833333336</v>
      </c>
      <c r="F272" s="221">
        <v>0.2627506</v>
      </c>
      <c r="G272" s="222"/>
    </row>
    <row r="273" spans="2:7">
      <c r="B273" s="220">
        <v>45136</v>
      </c>
      <c r="C273" s="221">
        <v>41829.662500000006</v>
      </c>
      <c r="D273" s="221">
        <v>49.350792916666684</v>
      </c>
      <c r="E273" s="221">
        <v>38.672227916666671</v>
      </c>
      <c r="F273" s="221">
        <v>0.2417549660416666</v>
      </c>
      <c r="G273" s="222"/>
    </row>
    <row r="274" spans="2:7">
      <c r="B274" s="220">
        <v>45137</v>
      </c>
      <c r="C274" s="221">
        <v>41584.197999999997</v>
      </c>
      <c r="D274" s="221">
        <v>49.39760583333333</v>
      </c>
      <c r="E274" s="221">
        <v>38.643130833333338</v>
      </c>
      <c r="F274" s="221">
        <v>0.61721924812499995</v>
      </c>
      <c r="G274" s="222"/>
    </row>
    <row r="275" spans="2:7">
      <c r="B275" s="220">
        <v>45138</v>
      </c>
      <c r="C275" s="221">
        <v>41414.769000000015</v>
      </c>
      <c r="D275" s="221">
        <v>49.505115208333315</v>
      </c>
      <c r="E275" s="221">
        <v>38.596057083333342</v>
      </c>
      <c r="F275" s="221">
        <v>0.3930777875</v>
      </c>
      <c r="G275" s="2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7443-9D79-45BF-9927-5D5FB2F15299}">
  <dimension ref="B1:S39"/>
  <sheetViews>
    <sheetView topLeftCell="G19" zoomScale="115" zoomScaleNormal="115" workbookViewId="0">
      <selection activeCell="H38" sqref="H38:H39"/>
    </sheetView>
  </sheetViews>
  <sheetFormatPr defaultColWidth="8.3984375" defaultRowHeight="11.4"/>
  <cols>
    <col min="1" max="1" width="8.3984375" style="100"/>
    <col min="2" max="2" width="5.5" style="100" customWidth="1"/>
    <col min="3" max="3" width="17" style="101" customWidth="1"/>
    <col min="4" max="4" width="15.8984375" style="103" customWidth="1"/>
    <col min="5" max="5" width="15.59765625" style="103" customWidth="1"/>
    <col min="6" max="6" width="29.69921875" style="103" customWidth="1"/>
    <col min="7" max="7" width="26.19921875" style="103" bestFit="1" customWidth="1"/>
    <col min="8" max="8" width="25.3984375" style="103" bestFit="1" customWidth="1"/>
    <col min="9" max="9" width="31.09765625" style="103" customWidth="1"/>
    <col min="10" max="10" width="15.09765625" style="103" customWidth="1"/>
    <col min="11" max="11" width="20" style="103" customWidth="1"/>
    <col min="12" max="12" width="13" style="103" customWidth="1"/>
    <col min="13" max="13" width="14.09765625" style="103" customWidth="1"/>
    <col min="14" max="14" width="9.8984375" style="103" customWidth="1"/>
    <col min="15" max="15" width="13.69921875" style="103" customWidth="1"/>
    <col min="16" max="16" width="11.8984375" style="103" customWidth="1"/>
    <col min="17" max="17" width="12.09765625" style="103" customWidth="1"/>
    <col min="18" max="18" width="8.19921875" style="103" bestFit="1" customWidth="1"/>
    <col min="19" max="19" width="11" style="103" customWidth="1"/>
    <col min="20" max="20" width="8.3984375" style="100"/>
    <col min="21" max="21" width="7.3984375" style="100" customWidth="1"/>
    <col min="22" max="22" width="7.09765625" style="100" customWidth="1"/>
    <col min="23" max="23" width="11.59765625" style="100" customWidth="1"/>
    <col min="24" max="24" width="11.8984375" style="100" customWidth="1"/>
    <col min="25" max="25" width="14" style="100" customWidth="1"/>
    <col min="26" max="26" width="12.09765625" style="100" customWidth="1"/>
    <col min="27" max="16384" width="8.3984375" style="100"/>
  </cols>
  <sheetData>
    <row r="1" spans="2:19">
      <c r="D1" s="102"/>
    </row>
    <row r="2" spans="2:19" ht="15" customHeight="1">
      <c r="C2" s="32"/>
      <c r="D2" s="226" t="s">
        <v>27</v>
      </c>
      <c r="E2" s="226"/>
      <c r="F2" s="104" t="s">
        <v>28</v>
      </c>
      <c r="G2" s="105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2:19" ht="29.4" customHeight="1">
      <c r="C3" s="32" t="s">
        <v>19</v>
      </c>
      <c r="D3" s="198" t="s">
        <v>68</v>
      </c>
      <c r="E3" s="198" t="s">
        <v>69</v>
      </c>
      <c r="F3" s="198" t="s">
        <v>96</v>
      </c>
      <c r="G3" s="105"/>
      <c r="J3" s="100"/>
      <c r="K3" s="100"/>
      <c r="L3" s="100"/>
      <c r="M3" s="100"/>
      <c r="N3" s="100"/>
      <c r="O3" s="100"/>
      <c r="P3" s="100"/>
      <c r="Q3" s="107"/>
      <c r="R3" s="100"/>
      <c r="S3" s="100"/>
    </row>
    <row r="4" spans="2:19" ht="15.9" customHeight="1">
      <c r="B4" s="227">
        <v>2022</v>
      </c>
      <c r="C4" s="32">
        <v>11</v>
      </c>
      <c r="D4" s="106">
        <f>SUMIF('LFG Data'!B:B,C4,'LFG Data'!H:H)</f>
        <v>0</v>
      </c>
      <c r="E4" s="106">
        <f>IF(D4=0,0,"Please calculate PE Flare")</f>
        <v>0</v>
      </c>
      <c r="F4" s="106">
        <f>'LFG Data'!M17</f>
        <v>492.00855257291983</v>
      </c>
      <c r="G4" s="105"/>
      <c r="J4" s="100"/>
      <c r="K4" s="100"/>
      <c r="L4" s="100"/>
      <c r="M4" s="100"/>
      <c r="N4" s="100"/>
      <c r="O4" s="100"/>
      <c r="P4" s="100"/>
      <c r="Q4" s="107"/>
      <c r="R4" s="100"/>
      <c r="S4" s="100"/>
    </row>
    <row r="5" spans="2:19" ht="15.9" customHeight="1">
      <c r="B5" s="227"/>
      <c r="C5" s="32">
        <v>12</v>
      </c>
      <c r="D5" s="106">
        <f>SUMIF('LFG Data'!B:B,C5,'LFG Data'!H:H)</f>
        <v>0</v>
      </c>
      <c r="E5" s="106">
        <f t="shared" ref="E5:E12" si="0">IF(D5=0,0,"Please calculate PE Flare")</f>
        <v>0</v>
      </c>
      <c r="F5" s="106">
        <f>'LFG Data'!M18</f>
        <v>545.06056790239995</v>
      </c>
      <c r="G5" s="105"/>
      <c r="J5" s="100"/>
      <c r="K5" s="100"/>
      <c r="L5" s="100"/>
      <c r="M5" s="100"/>
      <c r="N5" s="100"/>
      <c r="O5" s="100"/>
      <c r="P5" s="100"/>
      <c r="Q5" s="107"/>
      <c r="R5" s="100"/>
      <c r="S5" s="100"/>
    </row>
    <row r="6" spans="2:19" ht="11.4" customHeight="1">
      <c r="B6" s="227">
        <v>2023</v>
      </c>
      <c r="C6" s="32">
        <v>1</v>
      </c>
      <c r="D6" s="106">
        <f>SUMIF('LFG Data'!B:B,C6,'LFG Data'!H:H)</f>
        <v>0</v>
      </c>
      <c r="E6" s="106">
        <f t="shared" si="0"/>
        <v>0</v>
      </c>
      <c r="F6" s="106">
        <f>'LFG Data'!M19</f>
        <v>524.2064200655999</v>
      </c>
      <c r="G6" s="105"/>
      <c r="J6" s="100"/>
      <c r="N6" s="100"/>
      <c r="O6" s="100"/>
      <c r="P6" s="100"/>
      <c r="Q6" s="100"/>
      <c r="R6" s="100"/>
      <c r="S6" s="100"/>
    </row>
    <row r="7" spans="2:19">
      <c r="B7" s="227"/>
      <c r="C7" s="32">
        <v>2</v>
      </c>
      <c r="D7" s="106">
        <f>SUMIF('LFG Data'!B:B,C7,'LFG Data'!H:H)</f>
        <v>0</v>
      </c>
      <c r="E7" s="106">
        <f t="shared" si="0"/>
        <v>0</v>
      </c>
      <c r="F7" s="106">
        <f>'LFG Data'!M20</f>
        <v>480.3366518496</v>
      </c>
      <c r="G7" s="105"/>
      <c r="J7" s="100"/>
      <c r="N7" s="100"/>
      <c r="O7" s="100"/>
      <c r="P7" s="100"/>
      <c r="Q7" s="100"/>
      <c r="R7" s="100"/>
      <c r="S7" s="100"/>
    </row>
    <row r="8" spans="2:19">
      <c r="B8" s="227"/>
      <c r="C8" s="32">
        <v>3</v>
      </c>
      <c r="D8" s="106">
        <f>SUMIF('LFG Data'!B:B,C8,'LFG Data'!H:H)</f>
        <v>0</v>
      </c>
      <c r="E8" s="106">
        <f t="shared" si="0"/>
        <v>0</v>
      </c>
      <c r="F8" s="106">
        <f>'LFG Data'!M21</f>
        <v>511.68799277359994</v>
      </c>
      <c r="G8" s="105"/>
      <c r="J8" s="100"/>
      <c r="N8" s="100"/>
      <c r="O8" s="100"/>
      <c r="P8" s="100"/>
      <c r="Q8" s="100"/>
      <c r="R8" s="100"/>
      <c r="S8" s="100"/>
    </row>
    <row r="9" spans="2:19">
      <c r="B9" s="227"/>
      <c r="C9" s="32">
        <v>4</v>
      </c>
      <c r="D9" s="106">
        <f>SUMIF('LFG Data'!B:B,C9,'LFG Data'!H:H)</f>
        <v>0</v>
      </c>
      <c r="E9" s="106">
        <f t="shared" si="0"/>
        <v>0</v>
      </c>
      <c r="F9" s="106">
        <f>'LFG Data'!M22</f>
        <v>441.05047033199997</v>
      </c>
      <c r="G9" s="105"/>
      <c r="J9" s="100"/>
      <c r="N9" s="100"/>
      <c r="O9" s="100"/>
      <c r="P9" s="100"/>
      <c r="Q9" s="100"/>
      <c r="R9" s="100"/>
      <c r="S9" s="100"/>
    </row>
    <row r="10" spans="2:19">
      <c r="B10" s="227"/>
      <c r="C10" s="32">
        <v>5</v>
      </c>
      <c r="D10" s="106">
        <f>SUMIF('LFG Data'!B:B,C10,'LFG Data'!H:H)</f>
        <v>0</v>
      </c>
      <c r="E10" s="106">
        <f t="shared" si="0"/>
        <v>0</v>
      </c>
      <c r="F10" s="106">
        <f>'LFG Data'!M23</f>
        <v>448.83607031999998</v>
      </c>
      <c r="G10" s="105"/>
      <c r="J10" s="100"/>
      <c r="N10" s="100"/>
      <c r="O10" s="100"/>
      <c r="P10" s="100"/>
      <c r="Q10" s="100"/>
      <c r="R10" s="100"/>
      <c r="S10" s="100"/>
    </row>
    <row r="11" spans="2:19">
      <c r="B11" s="227"/>
      <c r="C11" s="32">
        <v>6</v>
      </c>
      <c r="D11" s="106">
        <f>SUMIF('LFG Data'!B:B,C11,'LFG Data'!H:H)</f>
        <v>0</v>
      </c>
      <c r="E11" s="106">
        <f t="shared" si="0"/>
        <v>0</v>
      </c>
      <c r="F11" s="106">
        <f>'LFG Data'!M24</f>
        <v>444.12904056759993</v>
      </c>
      <c r="G11" s="105"/>
      <c r="J11" s="100"/>
      <c r="N11" s="100"/>
      <c r="O11" s="100"/>
      <c r="P11" s="100"/>
      <c r="Q11" s="100"/>
      <c r="R11" s="100"/>
      <c r="S11" s="100"/>
    </row>
    <row r="12" spans="2:19">
      <c r="B12" s="227"/>
      <c r="C12" s="32">
        <v>7</v>
      </c>
      <c r="D12" s="106">
        <f>SUMIF('LFG Data'!B:B,C12,'LFG Data'!H:H)</f>
        <v>0</v>
      </c>
      <c r="E12" s="106">
        <f t="shared" si="0"/>
        <v>0</v>
      </c>
      <c r="F12" s="106">
        <f>'LFG Data'!M25</f>
        <v>471.48770522559994</v>
      </c>
      <c r="G12" s="105"/>
      <c r="J12" s="100"/>
      <c r="N12" s="100"/>
      <c r="O12" s="100"/>
      <c r="P12" s="100"/>
      <c r="Q12" s="100"/>
      <c r="R12" s="100"/>
      <c r="S12" s="100"/>
    </row>
    <row r="13" spans="2:19">
      <c r="B13" s="227"/>
      <c r="C13" s="108" t="s">
        <v>29</v>
      </c>
      <c r="D13" s="108">
        <f>SUM(D4:D5)</f>
        <v>0</v>
      </c>
      <c r="E13" s="108">
        <f>SUM(E4:E5)</f>
        <v>0</v>
      </c>
      <c r="F13" s="109">
        <f>'LFG Data'!M31</f>
        <v>1037.0691204753198</v>
      </c>
      <c r="G13" s="105"/>
      <c r="J13" s="100"/>
      <c r="N13" s="100"/>
      <c r="O13" s="100"/>
      <c r="P13" s="100"/>
      <c r="Q13" s="100"/>
      <c r="R13" s="100"/>
      <c r="S13" s="100"/>
    </row>
    <row r="14" spans="2:19">
      <c r="B14" s="227"/>
      <c r="C14" s="108" t="s">
        <v>30</v>
      </c>
      <c r="D14" s="108">
        <f>SUM(D6:D12)</f>
        <v>0</v>
      </c>
      <c r="E14" s="108">
        <f>SUM(E6:E12)</f>
        <v>0</v>
      </c>
      <c r="F14" s="109">
        <f>'LFG Data'!M32</f>
        <v>3321.7343511339996</v>
      </c>
      <c r="G14" s="105"/>
      <c r="J14" s="100"/>
      <c r="N14" s="100"/>
      <c r="O14" s="100"/>
      <c r="P14" s="100"/>
      <c r="Q14" s="100"/>
      <c r="R14" s="100"/>
      <c r="S14" s="100"/>
    </row>
    <row r="15" spans="2:19">
      <c r="E15" s="111"/>
      <c r="F15" s="111"/>
      <c r="G15" s="105"/>
      <c r="J15" s="100"/>
      <c r="N15" s="100"/>
      <c r="O15" s="100"/>
      <c r="P15" s="100"/>
      <c r="Q15" s="100"/>
      <c r="R15" s="100"/>
      <c r="S15" s="100"/>
    </row>
    <row r="16" spans="2:19">
      <c r="C16" s="113" t="s">
        <v>31</v>
      </c>
      <c r="G16" s="105"/>
      <c r="I16" s="110"/>
      <c r="J16" s="100"/>
      <c r="N16" s="100"/>
      <c r="O16" s="100"/>
      <c r="P16" s="100"/>
      <c r="Q16" s="100"/>
      <c r="R16" s="100"/>
      <c r="S16" s="100"/>
    </row>
    <row r="17" spans="3:19" ht="11.4" customHeight="1">
      <c r="C17" s="113"/>
      <c r="G17" s="111"/>
      <c r="H17" s="111"/>
      <c r="I17" s="111"/>
      <c r="N17" s="112"/>
      <c r="O17" s="112"/>
      <c r="P17" s="112"/>
      <c r="Q17" s="112"/>
      <c r="R17" s="112"/>
      <c r="S17" s="112"/>
    </row>
    <row r="18" spans="3:19" ht="13.8">
      <c r="C18" s="22" t="s">
        <v>106</v>
      </c>
      <c r="D18" s="102"/>
      <c r="E18" s="22"/>
      <c r="F18" s="22"/>
      <c r="N18" s="112"/>
      <c r="O18" s="112"/>
      <c r="P18" s="112"/>
      <c r="Q18" s="112"/>
      <c r="R18" s="112"/>
      <c r="S18" s="112"/>
    </row>
    <row r="19" spans="3:19" ht="13.8">
      <c r="C19" s="22" t="s">
        <v>70</v>
      </c>
      <c r="D19" s="102">
        <v>0.1</v>
      </c>
      <c r="E19" s="22"/>
      <c r="F19" s="22"/>
      <c r="N19" s="112"/>
      <c r="O19" s="112"/>
      <c r="P19" s="112"/>
      <c r="Q19" s="112"/>
      <c r="R19" s="112"/>
      <c r="S19" s="112"/>
    </row>
    <row r="20" spans="3:19" ht="13.8">
      <c r="C20" s="22" t="s">
        <v>71</v>
      </c>
      <c r="D20" s="102">
        <v>0</v>
      </c>
      <c r="E20" s="22"/>
      <c r="F20" s="22"/>
    </row>
    <row r="21" spans="3:19" ht="13.8">
      <c r="C21" s="22" t="s">
        <v>72</v>
      </c>
      <c r="D21" s="102">
        <v>28</v>
      </c>
      <c r="E21" s="22"/>
      <c r="F21" s="22"/>
    </row>
    <row r="24" spans="3:19" ht="13.8">
      <c r="C24" s="6" t="s">
        <v>32</v>
      </c>
      <c r="D24" s="7" t="s">
        <v>33</v>
      </c>
      <c r="E24" s="7" t="s">
        <v>59</v>
      </c>
      <c r="F24" s="7" t="s">
        <v>60</v>
      </c>
      <c r="G24" s="7" t="s">
        <v>100</v>
      </c>
    </row>
    <row r="25" spans="3:19">
      <c r="C25" s="28">
        <v>44869</v>
      </c>
      <c r="D25" s="28">
        <v>44895</v>
      </c>
      <c r="E25" s="114">
        <f>F4</f>
        <v>492.00855257291983</v>
      </c>
      <c r="F25" s="115">
        <v>0</v>
      </c>
      <c r="G25" s="116">
        <f>ROUNDDOWN((E25*(1-$D$19)-F25)*$D$21,0)</f>
        <v>12398</v>
      </c>
    </row>
    <row r="26" spans="3:19">
      <c r="C26" s="28">
        <v>44896</v>
      </c>
      <c r="D26" s="28">
        <v>44926</v>
      </c>
      <c r="E26" s="114">
        <f t="shared" ref="E26:E33" si="1">F5</f>
        <v>545.06056790239995</v>
      </c>
      <c r="F26" s="115">
        <v>0</v>
      </c>
      <c r="G26" s="116">
        <f t="shared" ref="G25:G33" si="2">ROUNDDOWN((E26*(1-$D$19)-F26)*$D$21,0)</f>
        <v>13735</v>
      </c>
    </row>
    <row r="27" spans="3:19">
      <c r="C27" s="28">
        <v>44927</v>
      </c>
      <c r="D27" s="28">
        <v>44957</v>
      </c>
      <c r="E27" s="114">
        <f t="shared" si="1"/>
        <v>524.2064200655999</v>
      </c>
      <c r="F27" s="115">
        <v>0</v>
      </c>
      <c r="G27" s="116">
        <f t="shared" si="2"/>
        <v>13210</v>
      </c>
      <c r="K27" s="117"/>
    </row>
    <row r="28" spans="3:19">
      <c r="C28" s="28">
        <v>44958</v>
      </c>
      <c r="D28" s="28">
        <v>44985</v>
      </c>
      <c r="E28" s="114">
        <f t="shared" si="1"/>
        <v>480.3366518496</v>
      </c>
      <c r="F28" s="115">
        <v>0</v>
      </c>
      <c r="G28" s="116">
        <f t="shared" si="2"/>
        <v>12104</v>
      </c>
      <c r="K28" s="117"/>
    </row>
    <row r="29" spans="3:19">
      <c r="C29" s="28">
        <v>44986</v>
      </c>
      <c r="D29" s="28">
        <v>45016</v>
      </c>
      <c r="E29" s="114">
        <f t="shared" si="1"/>
        <v>511.68799277359994</v>
      </c>
      <c r="F29" s="115">
        <v>0</v>
      </c>
      <c r="G29" s="116">
        <f t="shared" si="2"/>
        <v>12894</v>
      </c>
      <c r="K29" s="117"/>
    </row>
    <row r="30" spans="3:19">
      <c r="C30" s="28">
        <v>45017</v>
      </c>
      <c r="D30" s="28">
        <v>45046</v>
      </c>
      <c r="E30" s="114">
        <f t="shared" si="1"/>
        <v>441.05047033199997</v>
      </c>
      <c r="F30" s="115">
        <v>0</v>
      </c>
      <c r="G30" s="116">
        <f t="shared" si="2"/>
        <v>11114</v>
      </c>
      <c r="K30" s="117"/>
    </row>
    <row r="31" spans="3:19">
      <c r="C31" s="28">
        <v>45047</v>
      </c>
      <c r="D31" s="28">
        <v>45077</v>
      </c>
      <c r="E31" s="114">
        <f t="shared" si="1"/>
        <v>448.83607031999998</v>
      </c>
      <c r="F31" s="115">
        <v>0</v>
      </c>
      <c r="G31" s="116">
        <f t="shared" si="2"/>
        <v>11310</v>
      </c>
      <c r="K31" s="117"/>
    </row>
    <row r="32" spans="3:19">
      <c r="C32" s="28">
        <v>45078</v>
      </c>
      <c r="D32" s="28">
        <v>45107</v>
      </c>
      <c r="E32" s="114">
        <f t="shared" si="1"/>
        <v>444.12904056759993</v>
      </c>
      <c r="F32" s="115">
        <v>0</v>
      </c>
      <c r="G32" s="116">
        <f t="shared" si="2"/>
        <v>11192</v>
      </c>
      <c r="K32" s="117"/>
    </row>
    <row r="33" spans="3:11">
      <c r="C33" s="28">
        <v>45108</v>
      </c>
      <c r="D33" s="28">
        <v>45138</v>
      </c>
      <c r="E33" s="114">
        <f t="shared" si="1"/>
        <v>471.48770522559994</v>
      </c>
      <c r="F33" s="115">
        <v>0</v>
      </c>
      <c r="G33" s="116">
        <f t="shared" si="2"/>
        <v>11881</v>
      </c>
      <c r="K33" s="117"/>
    </row>
    <row r="34" spans="3:11">
      <c r="C34" s="32" t="s">
        <v>34</v>
      </c>
      <c r="D34" s="33"/>
      <c r="E34" s="33"/>
      <c r="F34" s="33"/>
      <c r="G34" s="118">
        <f>SUM(G25:G33)</f>
        <v>109838</v>
      </c>
    </row>
    <row r="36" spans="3:11">
      <c r="E36" s="112">
        <f>SUM(E25:E33)</f>
        <v>4358.8034716093198</v>
      </c>
    </row>
    <row r="38" spans="3:11">
      <c r="H38" s="117"/>
    </row>
    <row r="39" spans="3:11">
      <c r="H39" s="117"/>
    </row>
  </sheetData>
  <mergeCells count="3">
    <mergeCell ref="D2:E2"/>
    <mergeCell ref="B6:B14"/>
    <mergeCell ref="B4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32D81-4B69-4475-8153-7D0FB07DF898}">
  <dimension ref="A1:V66"/>
  <sheetViews>
    <sheetView topLeftCell="C1" zoomScale="85" zoomScaleNormal="85" workbookViewId="0">
      <selection activeCell="J42" sqref="J42"/>
    </sheetView>
  </sheetViews>
  <sheetFormatPr defaultColWidth="8.3984375" defaultRowHeight="11.4"/>
  <cols>
    <col min="1" max="1" width="9.5" style="36" bestFit="1" customWidth="1"/>
    <col min="2" max="2" width="17.3984375" style="36" customWidth="1"/>
    <col min="3" max="3" width="13.59765625" style="36" customWidth="1"/>
    <col min="4" max="4" width="16" style="36" customWidth="1"/>
    <col min="5" max="5" width="16.19921875" style="36" customWidth="1"/>
    <col min="6" max="6" width="14" style="37" customWidth="1"/>
    <col min="7" max="7" width="26.5" style="37" customWidth="1"/>
    <col min="8" max="8" width="9.69921875" style="37" customWidth="1"/>
    <col min="9" max="9" width="25" style="37" customWidth="1"/>
    <col min="10" max="10" width="16.09765625" style="37" customWidth="1"/>
    <col min="11" max="11" width="12.69921875" style="37" customWidth="1"/>
    <col min="12" max="12" width="15.09765625" style="37" customWidth="1"/>
    <col min="13" max="13" width="15.3984375" style="37" customWidth="1"/>
    <col min="14" max="14" width="16.19921875" style="37" customWidth="1"/>
    <col min="15" max="15" width="15.3984375" style="37" customWidth="1"/>
    <col min="16" max="16" width="15.09765625" style="37" customWidth="1"/>
    <col min="17" max="17" width="14.69921875" style="37" customWidth="1"/>
    <col min="18" max="18" width="12.8984375" style="37" customWidth="1"/>
    <col min="19" max="19" width="13.09765625" style="37" customWidth="1"/>
    <col min="20" max="20" width="8.3984375" style="37"/>
    <col min="21" max="21" width="40.19921875" style="37" bestFit="1" customWidth="1"/>
    <col min="22" max="22" width="10.3984375" style="37" bestFit="1" customWidth="1"/>
    <col min="23" max="16384" width="8.3984375" style="37"/>
  </cols>
  <sheetData>
    <row r="1" spans="1:18" ht="15" customHeight="1">
      <c r="G1" s="34"/>
      <c r="H1" s="38"/>
    </row>
    <row r="2" spans="1:18" ht="14.4" thickBot="1">
      <c r="J2" s="39" t="s">
        <v>73</v>
      </c>
      <c r="K2" s="40">
        <v>0.7258</v>
      </c>
      <c r="L2" s="39" t="s">
        <v>74</v>
      </c>
    </row>
    <row r="3" spans="1:18" ht="13.8">
      <c r="A3" s="35"/>
      <c r="B3" s="41" t="str">
        <f>B13</f>
        <v>Start date</v>
      </c>
      <c r="C3" s="42" t="str">
        <f>C13</f>
        <v>End date</v>
      </c>
      <c r="D3" s="43" t="s">
        <v>75</v>
      </c>
      <c r="E3" s="43" t="s">
        <v>132</v>
      </c>
      <c r="F3" s="44" t="s">
        <v>76</v>
      </c>
      <c r="G3" s="44" t="s">
        <v>124</v>
      </c>
      <c r="H3" s="35"/>
      <c r="I3" s="35"/>
      <c r="J3" s="39" t="s">
        <v>77</v>
      </c>
      <c r="K3" s="40">
        <v>0.4153</v>
      </c>
      <c r="L3" s="39" t="s">
        <v>74</v>
      </c>
      <c r="M3" s="35"/>
      <c r="N3" s="35"/>
    </row>
    <row r="4" spans="1:18" ht="13.8">
      <c r="A4" s="35">
        <f t="array" ref="A4:A5">YEAR(B4:B5)</f>
        <v>2022</v>
      </c>
      <c r="B4" s="45">
        <v>44869</v>
      </c>
      <c r="C4" s="46">
        <v>44926</v>
      </c>
      <c r="D4" s="9">
        <f>SUMIF(A14:A23,A4,G14:G23)</f>
        <v>6004.6480983764122</v>
      </c>
      <c r="E4" s="213">
        <f>SUM(G27:G29)</f>
        <v>1.0764</v>
      </c>
      <c r="F4" s="47">
        <f>ROUNDUP(SUMIF(A27:A36,A4,J27:J36),0)</f>
        <v>2</v>
      </c>
      <c r="G4" s="47">
        <f>ROUNDDOWN(SUMIF(A14:A22,A4,J14:J22),0)</f>
        <v>2959</v>
      </c>
      <c r="H4" s="35" t="s">
        <v>133</v>
      </c>
      <c r="I4" s="35"/>
      <c r="J4" s="39" t="s">
        <v>78</v>
      </c>
      <c r="K4" s="48">
        <v>0.25</v>
      </c>
      <c r="L4" s="39"/>
      <c r="M4" s="35"/>
      <c r="N4" s="35"/>
    </row>
    <row r="5" spans="1:18" ht="13.8">
      <c r="A5" s="35">
        <v>2023</v>
      </c>
      <c r="B5" s="45">
        <v>44927</v>
      </c>
      <c r="C5" s="46">
        <v>45138</v>
      </c>
      <c r="D5" s="9">
        <f>SUMIF(A14:A23,A5,G14:G23)</f>
        <v>19941.015700000004</v>
      </c>
      <c r="E5" s="213">
        <f>SUM(G30:G36)</f>
        <v>7.9901999999999997</v>
      </c>
      <c r="F5" s="47">
        <f>ROUNDUP(SUMIF(A27:A36,A5,J27:J36),0)</f>
        <v>8</v>
      </c>
      <c r="G5" s="47">
        <f>ROUNDDOWN(SUMIF(A14:A23,A5,J14:J23),0)</f>
        <v>9827</v>
      </c>
      <c r="H5" s="35"/>
      <c r="I5" s="35"/>
      <c r="J5" s="39" t="s">
        <v>79</v>
      </c>
      <c r="K5" s="48">
        <f>(1-K4)</f>
        <v>0.75</v>
      </c>
      <c r="L5" s="39"/>
      <c r="M5" s="35"/>
      <c r="N5" s="35"/>
    </row>
    <row r="6" spans="1:18" ht="12" thickBot="1">
      <c r="A6" s="35"/>
      <c r="B6" s="228" t="s">
        <v>0</v>
      </c>
      <c r="C6" s="229"/>
      <c r="D6" s="49">
        <f>SUM(D4:D5)</f>
        <v>25945.663798376416</v>
      </c>
      <c r="E6" s="214">
        <f>SUM(G27:G36)</f>
        <v>9.0666000000000011</v>
      </c>
      <c r="F6" s="50">
        <f>SUM(F4:F5)</f>
        <v>10</v>
      </c>
      <c r="G6" s="50">
        <f>SUM(G4:G5)</f>
        <v>12786</v>
      </c>
      <c r="H6" s="35"/>
      <c r="I6" s="35"/>
      <c r="J6" s="39"/>
      <c r="K6" s="39"/>
      <c r="L6" s="39"/>
      <c r="M6" s="35"/>
      <c r="N6" s="35"/>
    </row>
    <row r="7" spans="1:18" ht="13.8">
      <c r="A7" s="35"/>
      <c r="B7" s="35"/>
      <c r="C7" s="35"/>
      <c r="D7" s="35"/>
      <c r="E7" s="35"/>
      <c r="F7" s="35"/>
      <c r="G7" s="35"/>
      <c r="H7" s="35"/>
      <c r="I7" s="35"/>
      <c r="J7" s="39" t="s">
        <v>80</v>
      </c>
      <c r="K7" s="51">
        <f>(K2*K4)+(K3*K5)</f>
        <v>0.492925</v>
      </c>
      <c r="L7" s="52" t="s">
        <v>81</v>
      </c>
      <c r="M7" s="35"/>
      <c r="N7" s="35"/>
    </row>
    <row r="8" spans="1:18" ht="13.8">
      <c r="A8" s="35"/>
      <c r="B8" s="35" t="s">
        <v>82</v>
      </c>
      <c r="C8" s="35"/>
      <c r="D8" s="77">
        <f>D6/($C$5-$B$4+1)*365</f>
        <v>35074.693653360708</v>
      </c>
      <c r="E8" s="35"/>
      <c r="F8" s="35"/>
      <c r="G8" s="35"/>
      <c r="H8" s="35"/>
      <c r="I8" s="35"/>
      <c r="J8" s="34"/>
      <c r="K8" s="53"/>
      <c r="L8" s="54"/>
      <c r="M8" s="35"/>
      <c r="N8" s="35"/>
    </row>
    <row r="9" spans="1:18" ht="13.8">
      <c r="A9" s="35"/>
      <c r="B9" s="35" t="s">
        <v>83</v>
      </c>
      <c r="C9" s="35"/>
      <c r="D9" s="35"/>
      <c r="E9" s="35"/>
      <c r="F9" s="35"/>
      <c r="G9" s="35"/>
      <c r="H9" s="35"/>
      <c r="I9" s="35"/>
      <c r="J9" s="34"/>
      <c r="K9" s="53"/>
      <c r="L9" s="54"/>
      <c r="M9" s="35"/>
      <c r="N9" s="35"/>
    </row>
    <row r="10" spans="1:18" ht="13.8">
      <c r="A10" s="35"/>
      <c r="B10" s="35" t="s">
        <v>84</v>
      </c>
      <c r="C10" s="35"/>
      <c r="D10" s="35"/>
      <c r="E10" s="35"/>
      <c r="F10" s="35"/>
      <c r="G10" s="35"/>
      <c r="H10" s="35"/>
      <c r="I10" s="35"/>
      <c r="J10" s="34"/>
      <c r="K10" s="53"/>
    </row>
    <row r="11" spans="1:18">
      <c r="A11" s="35"/>
      <c r="B11" s="35"/>
      <c r="C11" s="35"/>
      <c r="D11" s="35"/>
      <c r="E11" s="35"/>
      <c r="F11" s="35"/>
      <c r="G11" s="35"/>
      <c r="H11" s="35"/>
      <c r="I11" s="35"/>
      <c r="J11" s="34"/>
      <c r="K11" s="53"/>
    </row>
    <row r="12" spans="1:18" ht="34.799999999999997" thickBot="1">
      <c r="A12" s="35"/>
      <c r="B12" s="35"/>
      <c r="C12" s="35"/>
      <c r="D12" s="55" t="s">
        <v>35</v>
      </c>
      <c r="E12" s="55" t="s">
        <v>36</v>
      </c>
      <c r="I12" s="56"/>
      <c r="J12" s="56"/>
      <c r="K12" s="57"/>
      <c r="M12" s="199" t="s">
        <v>97</v>
      </c>
      <c r="O12" s="230" t="s">
        <v>35</v>
      </c>
      <c r="P12" s="230"/>
      <c r="Q12" s="231" t="s">
        <v>36</v>
      </c>
      <c r="R12" s="232"/>
    </row>
    <row r="13" spans="1:18" ht="59.4">
      <c r="A13" s="37"/>
      <c r="B13" s="58" t="s">
        <v>32</v>
      </c>
      <c r="C13" s="59" t="s">
        <v>33</v>
      </c>
      <c r="D13" s="60" t="s">
        <v>120</v>
      </c>
      <c r="E13" s="60" t="s">
        <v>121</v>
      </c>
      <c r="F13" s="61" t="s">
        <v>37</v>
      </c>
      <c r="G13" s="60" t="s">
        <v>123</v>
      </c>
      <c r="H13" s="60" t="s">
        <v>85</v>
      </c>
      <c r="I13" s="60" t="s">
        <v>86</v>
      </c>
      <c r="J13" s="62" t="s">
        <v>122</v>
      </c>
      <c r="M13" s="92" t="s">
        <v>32</v>
      </c>
      <c r="N13" s="92" t="s">
        <v>33</v>
      </c>
      <c r="O13" s="93" t="s">
        <v>98</v>
      </c>
      <c r="P13" s="90" t="s">
        <v>99</v>
      </c>
      <c r="Q13" s="93" t="s">
        <v>98</v>
      </c>
      <c r="R13" s="94" t="s">
        <v>99</v>
      </c>
    </row>
    <row r="14" spans="1:18">
      <c r="A14" s="35">
        <f t="array" ref="A14:A22">YEAR(B14:B22)</f>
        <v>1900</v>
      </c>
      <c r="B14" s="63"/>
      <c r="C14" s="64"/>
      <c r="D14" s="91"/>
      <c r="E14" s="91"/>
      <c r="F14" s="65"/>
      <c r="G14" s="66"/>
      <c r="H14" s="67"/>
      <c r="I14" s="68"/>
      <c r="J14" s="98"/>
    </row>
    <row r="15" spans="1:18">
      <c r="A15" s="35">
        <v>2022</v>
      </c>
      <c r="B15" s="63">
        <v>44869</v>
      </c>
      <c r="C15" s="64">
        <v>44895</v>
      </c>
      <c r="D15" s="91">
        <f>$O$15/1000*($C$15-$B$15+1)/30-D28</f>
        <v>2686.7209983764119</v>
      </c>
      <c r="E15" s="91">
        <f>$O$15/1000*($C$15-$B$15+1)/30-E28</f>
        <v>2686.7209983764119</v>
      </c>
      <c r="F15" s="65">
        <f t="shared" ref="F15:F23" si="0">(E15-D15)</f>
        <v>0</v>
      </c>
      <c r="G15" s="66">
        <f t="shared" ref="G15:G23" si="1">MIN(D15,E15)</f>
        <v>2686.7209983764119</v>
      </c>
      <c r="H15" s="67">
        <v>1.89E-2</v>
      </c>
      <c r="I15" s="68">
        <f t="shared" ref="I15:I23" si="2">$K$7</f>
        <v>0.492925</v>
      </c>
      <c r="J15" s="98">
        <f t="shared" ref="J15:J23" si="3">ROUNDDOWN(G15*I15,0)</f>
        <v>1324</v>
      </c>
      <c r="M15" s="64">
        <v>44869</v>
      </c>
      <c r="N15" s="64">
        <v>44895</v>
      </c>
      <c r="O15" s="95">
        <f>3326216.887*V38</f>
        <v>2986004.5537515688</v>
      </c>
      <c r="P15" s="95">
        <f>745.2*V47</f>
        <v>683.1</v>
      </c>
      <c r="Q15" s="200">
        <f>3326216.8*V38</f>
        <v>2986004.4756501084</v>
      </c>
      <c r="R15" s="95">
        <f>745.2*V47</f>
        <v>683.1</v>
      </c>
    </row>
    <row r="16" spans="1:18">
      <c r="A16" s="35">
        <v>2022</v>
      </c>
      <c r="B16" s="63">
        <v>44896</v>
      </c>
      <c r="C16" s="64">
        <v>44926</v>
      </c>
      <c r="D16" s="91">
        <f>O16/1000-D29</f>
        <v>3317.9271530000001</v>
      </c>
      <c r="E16" s="91">
        <f>Q16/1000-E29</f>
        <v>3317.9270999999999</v>
      </c>
      <c r="F16" s="65">
        <f t="shared" si="0"/>
        <v>-5.3000000207248377E-5</v>
      </c>
      <c r="G16" s="66">
        <f t="shared" si="1"/>
        <v>3317.9270999999999</v>
      </c>
      <c r="H16" s="67">
        <v>1.89E-2</v>
      </c>
      <c r="I16" s="68">
        <f t="shared" si="2"/>
        <v>0.492925</v>
      </c>
      <c r="J16" s="98">
        <f t="shared" si="3"/>
        <v>1635</v>
      </c>
      <c r="M16" s="64">
        <v>44896</v>
      </c>
      <c r="N16" s="64">
        <v>44926</v>
      </c>
      <c r="O16" s="95">
        <v>3318320.4530000002</v>
      </c>
      <c r="P16" s="96">
        <v>393.3</v>
      </c>
      <c r="Q16" s="200">
        <v>3318320.4</v>
      </c>
      <c r="R16" s="95">
        <v>393.3</v>
      </c>
    </row>
    <row r="17" spans="1:18">
      <c r="A17" s="35">
        <v>2023</v>
      </c>
      <c r="B17" s="63">
        <v>44927</v>
      </c>
      <c r="C17" s="64">
        <v>44957</v>
      </c>
      <c r="D17" s="91">
        <f t="shared" ref="D17:D23" si="4">O17/1000-D30</f>
        <v>3203.4741979999999</v>
      </c>
      <c r="E17" s="91">
        <f t="shared" ref="E17:E23" si="5">Q17/1000-E30</f>
        <v>3203.4741000000004</v>
      </c>
      <c r="F17" s="65">
        <f t="shared" si="0"/>
        <v>-9.799999952520011E-5</v>
      </c>
      <c r="G17" s="66">
        <f t="shared" si="1"/>
        <v>3203.4741000000004</v>
      </c>
      <c r="H17" s="67">
        <v>1.89E-2</v>
      </c>
      <c r="I17" s="68">
        <f t="shared" si="2"/>
        <v>0.492925</v>
      </c>
      <c r="J17" s="98">
        <f t="shared" si="3"/>
        <v>1579</v>
      </c>
      <c r="M17" s="64">
        <v>44927</v>
      </c>
      <c r="N17" s="64">
        <v>44957</v>
      </c>
      <c r="O17" s="95">
        <v>3203681.1979999999</v>
      </c>
      <c r="P17" s="95">
        <v>207</v>
      </c>
      <c r="Q17" s="200">
        <v>3203681.1</v>
      </c>
      <c r="R17" s="95">
        <v>207</v>
      </c>
    </row>
    <row r="18" spans="1:18">
      <c r="A18" s="35">
        <v>2023</v>
      </c>
      <c r="B18" s="63">
        <v>44958</v>
      </c>
      <c r="C18" s="64">
        <v>44985</v>
      </c>
      <c r="D18" s="91">
        <f t="shared" si="4"/>
        <v>2850.9581509999998</v>
      </c>
      <c r="E18" s="91">
        <f t="shared" si="5"/>
        <v>2850.9580999999998</v>
      </c>
      <c r="F18" s="65">
        <f t="shared" si="0"/>
        <v>-5.0999999984924216E-5</v>
      </c>
      <c r="G18" s="66">
        <f t="shared" si="1"/>
        <v>2850.9580999999998</v>
      </c>
      <c r="H18" s="67">
        <v>1.89E-2</v>
      </c>
      <c r="I18" s="68">
        <f t="shared" si="2"/>
        <v>0.492925</v>
      </c>
      <c r="J18" s="98">
        <f t="shared" si="3"/>
        <v>1405</v>
      </c>
      <c r="M18" s="64">
        <v>44958</v>
      </c>
      <c r="N18" s="64">
        <v>44985</v>
      </c>
      <c r="O18" s="95">
        <v>2851496.3509999998</v>
      </c>
      <c r="P18" s="95">
        <v>538.20000000000005</v>
      </c>
      <c r="Q18" s="200">
        <v>2851496.3</v>
      </c>
      <c r="R18" s="95">
        <v>538.20000000000005</v>
      </c>
    </row>
    <row r="19" spans="1:18">
      <c r="A19" s="35">
        <v>2023</v>
      </c>
      <c r="B19" s="63">
        <v>44986</v>
      </c>
      <c r="C19" s="64">
        <v>45016</v>
      </c>
      <c r="D19" s="91">
        <f t="shared" si="4"/>
        <v>3010.7456069999998</v>
      </c>
      <c r="E19" s="91">
        <f t="shared" si="5"/>
        <v>3010.7456000000002</v>
      </c>
      <c r="F19" s="65">
        <f t="shared" si="0"/>
        <v>-6.9999996412661858E-6</v>
      </c>
      <c r="G19" s="66">
        <f t="shared" si="1"/>
        <v>3010.7456000000002</v>
      </c>
      <c r="H19" s="67">
        <v>1.89E-2</v>
      </c>
      <c r="I19" s="68">
        <f t="shared" si="2"/>
        <v>0.492925</v>
      </c>
      <c r="J19" s="98">
        <f t="shared" si="3"/>
        <v>1484</v>
      </c>
      <c r="M19" s="64">
        <v>44986</v>
      </c>
      <c r="N19" s="64">
        <v>45016</v>
      </c>
      <c r="O19" s="95">
        <v>3011263.1069999998</v>
      </c>
      <c r="P19" s="95">
        <v>517.5</v>
      </c>
      <c r="Q19" s="95">
        <v>3011263.1</v>
      </c>
      <c r="R19" s="95">
        <v>517.5</v>
      </c>
    </row>
    <row r="20" spans="1:18">
      <c r="A20" s="35">
        <v>2023</v>
      </c>
      <c r="B20" s="63">
        <v>45017</v>
      </c>
      <c r="C20" s="64">
        <v>45046</v>
      </c>
      <c r="D20" s="91">
        <f t="shared" si="4"/>
        <v>2638.9876370000002</v>
      </c>
      <c r="E20" s="91">
        <f t="shared" si="5"/>
        <v>2638.9875999999999</v>
      </c>
      <c r="F20" s="65">
        <f t="shared" si="0"/>
        <v>-3.7000000247644493E-5</v>
      </c>
      <c r="G20" s="66">
        <f t="shared" si="1"/>
        <v>2638.9875999999999</v>
      </c>
      <c r="H20" s="67">
        <v>1.89E-2</v>
      </c>
      <c r="I20" s="68">
        <f t="shared" si="2"/>
        <v>0.492925</v>
      </c>
      <c r="J20" s="98">
        <f t="shared" si="3"/>
        <v>1300</v>
      </c>
      <c r="M20" s="64">
        <v>45017</v>
      </c>
      <c r="N20" s="64">
        <v>45046</v>
      </c>
      <c r="O20" s="95">
        <v>2642154.7370000002</v>
      </c>
      <c r="P20" s="95">
        <v>3167.1</v>
      </c>
      <c r="Q20" s="95">
        <v>2642154.7000000002</v>
      </c>
      <c r="R20" s="95">
        <v>3167.1</v>
      </c>
    </row>
    <row r="21" spans="1:18">
      <c r="A21" s="35">
        <v>2023</v>
      </c>
      <c r="B21" s="63">
        <v>45047</v>
      </c>
      <c r="C21" s="64">
        <v>45077</v>
      </c>
      <c r="D21" s="91">
        <f t="shared" si="4"/>
        <v>2781.7615380000002</v>
      </c>
      <c r="E21" s="91">
        <f t="shared" si="5"/>
        <v>2781.7615000000001</v>
      </c>
      <c r="F21" s="65">
        <f t="shared" si="0"/>
        <v>-3.8000000131432898E-5</v>
      </c>
      <c r="G21" s="66">
        <f t="shared" si="1"/>
        <v>2781.7615000000001</v>
      </c>
      <c r="H21" s="67">
        <v>1.89E-2</v>
      </c>
      <c r="I21" s="68">
        <f t="shared" si="2"/>
        <v>0.492925</v>
      </c>
      <c r="J21" s="98">
        <f t="shared" si="3"/>
        <v>1371</v>
      </c>
      <c r="M21" s="64">
        <v>45047</v>
      </c>
      <c r="N21" s="64">
        <v>45077</v>
      </c>
      <c r="O21" s="95">
        <v>2783355.4380000001</v>
      </c>
      <c r="P21" s="95">
        <v>1593.9</v>
      </c>
      <c r="Q21" s="95">
        <v>2783355.4</v>
      </c>
      <c r="R21" s="95">
        <v>1593.9</v>
      </c>
    </row>
    <row r="22" spans="1:18">
      <c r="A22" s="35">
        <v>2023</v>
      </c>
      <c r="B22" s="63">
        <v>45078</v>
      </c>
      <c r="C22" s="64">
        <v>45107</v>
      </c>
      <c r="D22" s="91">
        <f t="shared" si="4"/>
        <v>2668.927601071</v>
      </c>
      <c r="E22" s="91">
        <f t="shared" si="5"/>
        <v>2668.9276</v>
      </c>
      <c r="F22" s="65">
        <f t="shared" si="0"/>
        <v>-1.0710000424296595E-6</v>
      </c>
      <c r="G22" s="66">
        <f t="shared" si="1"/>
        <v>2668.9276</v>
      </c>
      <c r="H22" s="67">
        <v>1.89E-2</v>
      </c>
      <c r="I22" s="68">
        <f t="shared" si="2"/>
        <v>0.492925</v>
      </c>
      <c r="J22" s="98">
        <f t="shared" si="3"/>
        <v>1315</v>
      </c>
      <c r="M22" s="64">
        <v>45078</v>
      </c>
      <c r="N22" s="64">
        <v>45107</v>
      </c>
      <c r="O22" s="95">
        <v>2670687.1010710001</v>
      </c>
      <c r="P22" s="95">
        <v>1759.5</v>
      </c>
      <c r="Q22" s="95">
        <v>2670687.1</v>
      </c>
      <c r="R22" s="95">
        <v>1759.5</v>
      </c>
    </row>
    <row r="23" spans="1:18">
      <c r="A23" s="35">
        <f t="array" ref="A23">YEAR(B23:B29)</f>
        <v>2023</v>
      </c>
      <c r="B23" s="63">
        <v>45108</v>
      </c>
      <c r="C23" s="64">
        <v>45138</v>
      </c>
      <c r="D23" s="91">
        <f t="shared" si="4"/>
        <v>2786.1612489999998</v>
      </c>
      <c r="E23" s="91">
        <f t="shared" si="5"/>
        <v>2786.1612000000005</v>
      </c>
      <c r="F23" s="65">
        <f t="shared" si="0"/>
        <v>-4.8999999307852704E-5</v>
      </c>
      <c r="G23" s="66">
        <f t="shared" si="1"/>
        <v>2786.1612000000005</v>
      </c>
      <c r="H23" s="67">
        <v>1.89E-2</v>
      </c>
      <c r="I23" s="68">
        <f t="shared" si="2"/>
        <v>0.492925</v>
      </c>
      <c r="J23" s="98">
        <f t="shared" si="3"/>
        <v>1373</v>
      </c>
      <c r="M23" s="64">
        <v>45108</v>
      </c>
      <c r="N23" s="64">
        <v>45138</v>
      </c>
      <c r="O23" s="95">
        <v>2786368.2489999998</v>
      </c>
      <c r="P23" s="95">
        <v>207</v>
      </c>
      <c r="Q23" s="95">
        <v>2786368.2</v>
      </c>
      <c r="R23" s="95">
        <v>207</v>
      </c>
    </row>
    <row r="24" spans="1:18">
      <c r="B24" s="89"/>
    </row>
    <row r="25" spans="1:18" ht="34.799999999999997" thickBot="1">
      <c r="D25" s="55" t="s">
        <v>35</v>
      </c>
      <c r="E25" s="55" t="s">
        <v>36</v>
      </c>
      <c r="N25" s="69"/>
    </row>
    <row r="26" spans="1:18" ht="39">
      <c r="A26" s="35"/>
      <c r="B26" s="41" t="s">
        <v>32</v>
      </c>
      <c r="C26" s="42" t="s">
        <v>33</v>
      </c>
      <c r="D26" s="70" t="s">
        <v>38</v>
      </c>
      <c r="E26" s="70" t="s">
        <v>38</v>
      </c>
      <c r="F26" s="70" t="s">
        <v>37</v>
      </c>
      <c r="G26" s="70" t="s">
        <v>39</v>
      </c>
      <c r="H26" s="70" t="s">
        <v>87</v>
      </c>
      <c r="I26" s="70" t="s">
        <v>86</v>
      </c>
      <c r="J26" s="71" t="s">
        <v>88</v>
      </c>
    </row>
    <row r="27" spans="1:18">
      <c r="A27" s="35">
        <f t="array" ref="A27:A35">YEAR(B27:B35)</f>
        <v>1900</v>
      </c>
      <c r="B27" s="63"/>
      <c r="C27" s="64"/>
      <c r="D27" s="72"/>
      <c r="E27" s="72"/>
      <c r="F27" s="73"/>
      <c r="G27" s="97"/>
      <c r="H27" s="67"/>
      <c r="I27" s="68"/>
      <c r="J27" s="99"/>
    </row>
    <row r="28" spans="1:18">
      <c r="A28" s="35">
        <v>2022</v>
      </c>
      <c r="B28" s="63">
        <f>B15</f>
        <v>44869</v>
      </c>
      <c r="C28" s="64">
        <f t="shared" ref="B28:C36" si="6">C15</f>
        <v>44895</v>
      </c>
      <c r="D28" s="72">
        <f>P15/1000</f>
        <v>0.68310000000000004</v>
      </c>
      <c r="E28" s="72">
        <f>R15/1000</f>
        <v>0.68310000000000004</v>
      </c>
      <c r="F28" s="73">
        <f t="shared" ref="F28:F35" si="7">(E28-D28)</f>
        <v>0</v>
      </c>
      <c r="G28" s="97">
        <f t="shared" ref="G28:G36" si="8">MAX(D28,E28)</f>
        <v>0.68310000000000004</v>
      </c>
      <c r="H28" s="67">
        <v>1.89E-2</v>
      </c>
      <c r="I28" s="68">
        <f t="shared" ref="I28:I36" si="9">$K$7</f>
        <v>0.492925</v>
      </c>
      <c r="J28" s="99">
        <f t="shared" ref="J28:J35" si="10">ROUNDUP(G28*I28,0)</f>
        <v>1</v>
      </c>
    </row>
    <row r="29" spans="1:18">
      <c r="A29" s="35">
        <v>2022</v>
      </c>
      <c r="B29" s="63">
        <f t="shared" si="6"/>
        <v>44896</v>
      </c>
      <c r="C29" s="64">
        <f t="shared" si="6"/>
        <v>44926</v>
      </c>
      <c r="D29" s="72">
        <f>P16/1000</f>
        <v>0.39330000000000004</v>
      </c>
      <c r="E29" s="72">
        <f t="shared" ref="E29:E36" si="11">R16/1000</f>
        <v>0.39330000000000004</v>
      </c>
      <c r="F29" s="73">
        <f t="shared" si="7"/>
        <v>0</v>
      </c>
      <c r="G29" s="97">
        <f t="shared" si="8"/>
        <v>0.39330000000000004</v>
      </c>
      <c r="H29" s="67">
        <v>1.89E-2</v>
      </c>
      <c r="I29" s="68">
        <f t="shared" si="9"/>
        <v>0.492925</v>
      </c>
      <c r="J29" s="99">
        <f t="shared" si="10"/>
        <v>1</v>
      </c>
    </row>
    <row r="30" spans="1:18">
      <c r="A30" s="35">
        <v>2023</v>
      </c>
      <c r="B30" s="63">
        <f t="shared" si="6"/>
        <v>44927</v>
      </c>
      <c r="C30" s="64">
        <f t="shared" si="6"/>
        <v>44957</v>
      </c>
      <c r="D30" s="72">
        <f t="shared" ref="D30:D36" si="12">P17/1000</f>
        <v>0.20699999999999999</v>
      </c>
      <c r="E30" s="72">
        <f t="shared" si="11"/>
        <v>0.20699999999999999</v>
      </c>
      <c r="F30" s="73">
        <f t="shared" si="7"/>
        <v>0</v>
      </c>
      <c r="G30" s="97">
        <f t="shared" si="8"/>
        <v>0.20699999999999999</v>
      </c>
      <c r="H30" s="67">
        <v>1.89E-2</v>
      </c>
      <c r="I30" s="68">
        <f t="shared" si="9"/>
        <v>0.492925</v>
      </c>
      <c r="J30" s="99">
        <f t="shared" si="10"/>
        <v>1</v>
      </c>
    </row>
    <row r="31" spans="1:18">
      <c r="A31" s="35">
        <v>2023</v>
      </c>
      <c r="B31" s="63">
        <f t="shared" si="6"/>
        <v>44958</v>
      </c>
      <c r="C31" s="64">
        <f t="shared" si="6"/>
        <v>44985</v>
      </c>
      <c r="D31" s="72">
        <f t="shared" si="12"/>
        <v>0.53820000000000001</v>
      </c>
      <c r="E31" s="72">
        <f t="shared" si="11"/>
        <v>0.53820000000000001</v>
      </c>
      <c r="F31" s="73">
        <f t="shared" si="7"/>
        <v>0</v>
      </c>
      <c r="G31" s="97">
        <f t="shared" si="8"/>
        <v>0.53820000000000001</v>
      </c>
      <c r="H31" s="67">
        <v>1.89E-2</v>
      </c>
      <c r="I31" s="68">
        <f t="shared" si="9"/>
        <v>0.492925</v>
      </c>
      <c r="J31" s="99">
        <f t="shared" si="10"/>
        <v>1</v>
      </c>
    </row>
    <row r="32" spans="1:18">
      <c r="A32" s="35">
        <v>2023</v>
      </c>
      <c r="B32" s="63">
        <f t="shared" si="6"/>
        <v>44986</v>
      </c>
      <c r="C32" s="64">
        <f t="shared" si="6"/>
        <v>45016</v>
      </c>
      <c r="D32" s="72">
        <f t="shared" si="12"/>
        <v>0.51749999999999996</v>
      </c>
      <c r="E32" s="72">
        <f t="shared" si="11"/>
        <v>0.51749999999999996</v>
      </c>
      <c r="F32" s="73">
        <f t="shared" si="7"/>
        <v>0</v>
      </c>
      <c r="G32" s="97">
        <f t="shared" si="8"/>
        <v>0.51749999999999996</v>
      </c>
      <c r="H32" s="67">
        <v>1.89E-2</v>
      </c>
      <c r="I32" s="68">
        <f t="shared" si="9"/>
        <v>0.492925</v>
      </c>
      <c r="J32" s="99">
        <f t="shared" si="10"/>
        <v>1</v>
      </c>
    </row>
    <row r="33" spans="1:22">
      <c r="A33" s="35">
        <v>2023</v>
      </c>
      <c r="B33" s="63">
        <f t="shared" si="6"/>
        <v>45017</v>
      </c>
      <c r="C33" s="64">
        <f t="shared" si="6"/>
        <v>45046</v>
      </c>
      <c r="D33" s="72">
        <f t="shared" si="12"/>
        <v>3.1671</v>
      </c>
      <c r="E33" s="72">
        <f t="shared" si="11"/>
        <v>3.1671</v>
      </c>
      <c r="F33" s="73">
        <f t="shared" si="7"/>
        <v>0</v>
      </c>
      <c r="G33" s="97">
        <f t="shared" si="8"/>
        <v>3.1671</v>
      </c>
      <c r="H33" s="67">
        <v>1.89E-2</v>
      </c>
      <c r="I33" s="68">
        <f t="shared" si="9"/>
        <v>0.492925</v>
      </c>
      <c r="J33" s="99">
        <f t="shared" si="10"/>
        <v>2</v>
      </c>
    </row>
    <row r="34" spans="1:22">
      <c r="A34" s="35">
        <v>2023</v>
      </c>
      <c r="B34" s="63">
        <f t="shared" si="6"/>
        <v>45047</v>
      </c>
      <c r="C34" s="64">
        <f t="shared" si="6"/>
        <v>45077</v>
      </c>
      <c r="D34" s="72">
        <f t="shared" si="12"/>
        <v>1.5939000000000001</v>
      </c>
      <c r="E34" s="72">
        <f t="shared" si="11"/>
        <v>1.5939000000000001</v>
      </c>
      <c r="F34" s="73">
        <f t="shared" si="7"/>
        <v>0</v>
      </c>
      <c r="G34" s="97">
        <f t="shared" si="8"/>
        <v>1.5939000000000001</v>
      </c>
      <c r="H34" s="67">
        <v>1.89E-2</v>
      </c>
      <c r="I34" s="68">
        <f t="shared" si="9"/>
        <v>0.492925</v>
      </c>
      <c r="J34" s="99">
        <f t="shared" si="10"/>
        <v>1</v>
      </c>
      <c r="M34" s="243" t="s">
        <v>164</v>
      </c>
    </row>
    <row r="35" spans="1:22" ht="22.8">
      <c r="A35" s="35">
        <v>2023</v>
      </c>
      <c r="B35" s="63">
        <f t="shared" si="6"/>
        <v>45078</v>
      </c>
      <c r="C35" s="64">
        <f t="shared" si="6"/>
        <v>45107</v>
      </c>
      <c r="D35" s="72">
        <f t="shared" si="12"/>
        <v>1.7595000000000001</v>
      </c>
      <c r="E35" s="72">
        <f t="shared" si="11"/>
        <v>1.7595000000000001</v>
      </c>
      <c r="F35" s="73">
        <f t="shared" si="7"/>
        <v>0</v>
      </c>
      <c r="G35" s="97">
        <f t="shared" si="8"/>
        <v>1.7595000000000001</v>
      </c>
      <c r="H35" s="67">
        <v>1.89E-2</v>
      </c>
      <c r="I35" s="68">
        <f t="shared" si="9"/>
        <v>0.492925</v>
      </c>
      <c r="J35" s="99">
        <f t="shared" si="10"/>
        <v>1</v>
      </c>
      <c r="M35" s="235" t="s">
        <v>18</v>
      </c>
      <c r="N35" s="236" t="s">
        <v>152</v>
      </c>
      <c r="O35" s="236" t="s">
        <v>153</v>
      </c>
      <c r="P35" s="236" t="s">
        <v>154</v>
      </c>
      <c r="Q35" s="236" t="s">
        <v>155</v>
      </c>
      <c r="R35" s="236" t="s">
        <v>157</v>
      </c>
      <c r="S35" s="236" t="s">
        <v>158</v>
      </c>
      <c r="U35" s="243" t="s">
        <v>162</v>
      </c>
    </row>
    <row r="36" spans="1:22">
      <c r="A36" s="35">
        <f t="array" ref="A36">YEAR(B36:B42)</f>
        <v>2023</v>
      </c>
      <c r="B36" s="63">
        <f t="shared" si="6"/>
        <v>45108</v>
      </c>
      <c r="C36" s="64">
        <f t="shared" si="6"/>
        <v>45138</v>
      </c>
      <c r="D36" s="72">
        <f t="shared" si="12"/>
        <v>0.20699999999999999</v>
      </c>
      <c r="E36" s="72">
        <f t="shared" si="11"/>
        <v>0.20699999999999999</v>
      </c>
      <c r="F36" s="73">
        <f t="shared" ref="F36" si="13">(E36-D36)</f>
        <v>0</v>
      </c>
      <c r="G36" s="97">
        <f t="shared" si="8"/>
        <v>0.20699999999999999</v>
      </c>
      <c r="H36" s="67">
        <v>1.89E-2</v>
      </c>
      <c r="I36" s="68">
        <f t="shared" si="9"/>
        <v>0.492925</v>
      </c>
      <c r="J36" s="99">
        <f t="shared" ref="J36" si="14">ROUNDUP(G36*I36,0)</f>
        <v>1</v>
      </c>
      <c r="M36" s="237">
        <v>44866</v>
      </c>
      <c r="N36" s="238">
        <v>117.22410000000002</v>
      </c>
      <c r="O36" s="238">
        <v>0</v>
      </c>
      <c r="P36" s="238">
        <v>0</v>
      </c>
      <c r="Q36" s="238">
        <v>116.75260742800006</v>
      </c>
      <c r="R36" s="241">
        <f>P36*1000</f>
        <v>0</v>
      </c>
      <c r="S36" s="242">
        <f>Q36*1000</f>
        <v>116752.60742800006</v>
      </c>
      <c r="U36" s="240" t="s">
        <v>159</v>
      </c>
      <c r="V36" s="242">
        <f>SUM(S36:S65)</f>
        <v>3326216.8870740007</v>
      </c>
    </row>
    <row r="37" spans="1:22">
      <c r="M37" s="237">
        <v>44867</v>
      </c>
      <c r="N37" s="238">
        <v>110.22749999999999</v>
      </c>
      <c r="O37" s="238">
        <v>6.2100000000000002E-2</v>
      </c>
      <c r="P37" s="238">
        <v>6.2100000000000002E-2</v>
      </c>
      <c r="Q37" s="238">
        <v>109.78902446500004</v>
      </c>
      <c r="R37" s="241">
        <f t="shared" ref="R37:R66" si="15">P37*1000</f>
        <v>62.1</v>
      </c>
      <c r="S37" s="242">
        <f t="shared" ref="S37:S66" si="16">Q37*1000</f>
        <v>109789.02446500004</v>
      </c>
      <c r="U37" s="240" t="s">
        <v>161</v>
      </c>
      <c r="V37" s="242">
        <f>SUM(S39:S65)</f>
        <v>2986004.5538180005</v>
      </c>
    </row>
    <row r="38" spans="1:22">
      <c r="M38" s="237">
        <v>44868</v>
      </c>
      <c r="N38" s="238">
        <v>114.11909999999999</v>
      </c>
      <c r="O38" s="238">
        <v>0</v>
      </c>
      <c r="P38" s="238">
        <v>0</v>
      </c>
      <c r="Q38" s="238">
        <v>113.67070136300001</v>
      </c>
      <c r="R38" s="241">
        <f t="shared" si="15"/>
        <v>0</v>
      </c>
      <c r="S38" s="242">
        <f t="shared" si="16"/>
        <v>113670.701363</v>
      </c>
      <c r="U38" s="240" t="s">
        <v>160</v>
      </c>
      <c r="V38" s="240">
        <f>V37/V36</f>
        <v>0.89771793457663629</v>
      </c>
    </row>
    <row r="39" spans="1:22">
      <c r="M39" s="237">
        <v>44869</v>
      </c>
      <c r="N39" s="238">
        <v>116.58239999999999</v>
      </c>
      <c r="O39" s="238">
        <v>0</v>
      </c>
      <c r="P39" s="238">
        <v>0</v>
      </c>
      <c r="Q39" s="238">
        <v>116.11590933700006</v>
      </c>
      <c r="R39" s="241">
        <f t="shared" si="15"/>
        <v>0</v>
      </c>
      <c r="S39" s="242">
        <f t="shared" si="16"/>
        <v>116115.90933700006</v>
      </c>
    </row>
    <row r="40" spans="1:22">
      <c r="M40" s="237">
        <v>44870</v>
      </c>
      <c r="N40" s="238">
        <v>115.09200000000003</v>
      </c>
      <c r="O40" s="238">
        <v>0</v>
      </c>
      <c r="P40" s="238">
        <v>0</v>
      </c>
      <c r="Q40" s="238">
        <v>114.63670054300007</v>
      </c>
      <c r="R40" s="241">
        <f t="shared" si="15"/>
        <v>0</v>
      </c>
      <c r="S40" s="242">
        <f t="shared" si="16"/>
        <v>114636.70054300007</v>
      </c>
    </row>
    <row r="41" spans="1:22">
      <c r="M41" s="237">
        <v>44871</v>
      </c>
      <c r="N41" s="238">
        <v>115.6302</v>
      </c>
      <c r="O41" s="238">
        <v>0</v>
      </c>
      <c r="P41" s="238">
        <v>0</v>
      </c>
      <c r="Q41" s="238">
        <v>115.17020601100006</v>
      </c>
      <c r="R41" s="241">
        <f t="shared" si="15"/>
        <v>0</v>
      </c>
      <c r="S41" s="242">
        <f t="shared" si="16"/>
        <v>115170.20601100006</v>
      </c>
    </row>
    <row r="42" spans="1:22">
      <c r="M42" s="237">
        <v>44872</v>
      </c>
      <c r="N42" s="238">
        <v>115.98210000000003</v>
      </c>
      <c r="O42" s="238">
        <v>2.07E-2</v>
      </c>
      <c r="P42" s="238">
        <v>2.07E-2</v>
      </c>
      <c r="Q42" s="238">
        <v>115.51968752900007</v>
      </c>
      <c r="R42" s="241">
        <f t="shared" si="15"/>
        <v>20.7</v>
      </c>
      <c r="S42" s="242">
        <f t="shared" si="16"/>
        <v>115519.68752900006</v>
      </c>
    </row>
    <row r="43" spans="1:22">
      <c r="M43" s="237">
        <v>44873</v>
      </c>
      <c r="N43" s="238">
        <v>109.00619999999999</v>
      </c>
      <c r="O43" s="238">
        <v>0.1242</v>
      </c>
      <c r="P43" s="238">
        <v>0.1242</v>
      </c>
      <c r="Q43" s="238">
        <v>108.58373221200006</v>
      </c>
      <c r="R43" s="241">
        <f t="shared" si="15"/>
        <v>124.2</v>
      </c>
      <c r="S43" s="242">
        <f t="shared" si="16"/>
        <v>108583.73221200006</v>
      </c>
      <c r="U43" s="243" t="s">
        <v>163</v>
      </c>
    </row>
    <row r="44" spans="1:22">
      <c r="M44" s="237">
        <v>44874</v>
      </c>
      <c r="N44" s="238">
        <v>115.7337</v>
      </c>
      <c r="O44" s="238">
        <v>0</v>
      </c>
      <c r="P44" s="238">
        <v>0</v>
      </c>
      <c r="Q44" s="238">
        <v>115.27377042500004</v>
      </c>
      <c r="R44" s="241">
        <f t="shared" si="15"/>
        <v>0</v>
      </c>
      <c r="S44" s="242">
        <f t="shared" si="16"/>
        <v>115273.77042500004</v>
      </c>
    </row>
    <row r="45" spans="1:22">
      <c r="M45" s="237">
        <v>44875</v>
      </c>
      <c r="N45" s="238">
        <v>110.53799999999998</v>
      </c>
      <c r="O45" s="238">
        <v>8.2799999999999999E-2</v>
      </c>
      <c r="P45" s="238">
        <v>8.2799999999999999E-2</v>
      </c>
      <c r="Q45" s="238">
        <v>110.10112563000004</v>
      </c>
      <c r="R45" s="241">
        <f t="shared" si="15"/>
        <v>82.8</v>
      </c>
      <c r="S45" s="242">
        <f t="shared" si="16"/>
        <v>110101.12563000004</v>
      </c>
      <c r="U45" s="240" t="s">
        <v>159</v>
      </c>
      <c r="V45" s="240">
        <f>SUM(R36:R65)</f>
        <v>745.20000000000016</v>
      </c>
    </row>
    <row r="46" spans="1:22">
      <c r="M46" s="237">
        <v>44876</v>
      </c>
      <c r="N46" s="238">
        <v>109.99980000000001</v>
      </c>
      <c r="O46" s="238">
        <v>0</v>
      </c>
      <c r="P46" s="238">
        <v>0</v>
      </c>
      <c r="Q46" s="238">
        <v>109.57760213299998</v>
      </c>
      <c r="R46" s="241">
        <f t="shared" si="15"/>
        <v>0</v>
      </c>
      <c r="S46" s="242">
        <f t="shared" si="16"/>
        <v>109577.60213299998</v>
      </c>
      <c r="U46" s="240" t="s">
        <v>161</v>
      </c>
      <c r="V46" s="240">
        <f>SUM(R39:R65)</f>
        <v>683.10000000000014</v>
      </c>
    </row>
    <row r="47" spans="1:22">
      <c r="M47" s="237">
        <v>44877</v>
      </c>
      <c r="N47" s="238">
        <v>109.79280000000004</v>
      </c>
      <c r="O47" s="238">
        <v>0</v>
      </c>
      <c r="P47" s="238">
        <v>0</v>
      </c>
      <c r="Q47" s="238">
        <v>109.37812188700001</v>
      </c>
      <c r="R47" s="241">
        <f t="shared" si="15"/>
        <v>0</v>
      </c>
      <c r="S47" s="242">
        <f t="shared" si="16"/>
        <v>109378.121887</v>
      </c>
      <c r="U47" s="240" t="s">
        <v>160</v>
      </c>
      <c r="V47" s="240">
        <f>V46/V45</f>
        <v>0.91666666666666663</v>
      </c>
    </row>
    <row r="48" spans="1:22">
      <c r="M48" s="237">
        <v>44878</v>
      </c>
      <c r="N48" s="238">
        <v>112.62870000000002</v>
      </c>
      <c r="O48" s="238">
        <v>0</v>
      </c>
      <c r="P48" s="238">
        <v>0</v>
      </c>
      <c r="Q48" s="238">
        <v>112.19318746</v>
      </c>
      <c r="R48" s="241">
        <f t="shared" si="15"/>
        <v>0</v>
      </c>
      <c r="S48" s="242">
        <f t="shared" si="16"/>
        <v>112193.18746</v>
      </c>
    </row>
    <row r="49" spans="13:19">
      <c r="M49" s="237">
        <v>44879</v>
      </c>
      <c r="N49" s="238">
        <v>113.04270000000001</v>
      </c>
      <c r="O49" s="238">
        <v>0</v>
      </c>
      <c r="P49" s="238">
        <v>0</v>
      </c>
      <c r="Q49" s="238">
        <v>112.60424722900001</v>
      </c>
      <c r="R49" s="241">
        <f t="shared" si="15"/>
        <v>0</v>
      </c>
      <c r="S49" s="242">
        <f t="shared" si="16"/>
        <v>112604.24722900002</v>
      </c>
    </row>
    <row r="50" spans="13:19">
      <c r="M50" s="237">
        <v>44880</v>
      </c>
      <c r="N50" s="238">
        <v>112.17330000000004</v>
      </c>
      <c r="O50" s="238">
        <v>2.07E-2</v>
      </c>
      <c r="P50" s="238">
        <v>2.07E-2</v>
      </c>
      <c r="Q50" s="238">
        <v>111.74011529900004</v>
      </c>
      <c r="R50" s="241">
        <f t="shared" si="15"/>
        <v>20.7</v>
      </c>
      <c r="S50" s="242">
        <f t="shared" si="16"/>
        <v>111740.11529900004</v>
      </c>
    </row>
    <row r="51" spans="13:19">
      <c r="M51" s="237">
        <v>44881</v>
      </c>
      <c r="N51" s="238">
        <v>113.1669</v>
      </c>
      <c r="O51" s="238">
        <v>0</v>
      </c>
      <c r="P51" s="238">
        <v>0</v>
      </c>
      <c r="Q51" s="238">
        <v>112.72750397199997</v>
      </c>
      <c r="R51" s="241">
        <f t="shared" si="15"/>
        <v>0</v>
      </c>
      <c r="S51" s="242">
        <f t="shared" si="16"/>
        <v>112727.50397199996</v>
      </c>
    </row>
    <row r="52" spans="13:19">
      <c r="M52" s="237">
        <v>44882</v>
      </c>
      <c r="N52" s="238">
        <v>112.06980000000001</v>
      </c>
      <c r="O52" s="238">
        <v>2.07E-2</v>
      </c>
      <c r="P52" s="238">
        <v>2.07E-2</v>
      </c>
      <c r="Q52" s="238">
        <v>111.63840185100001</v>
      </c>
      <c r="R52" s="241">
        <f t="shared" si="15"/>
        <v>20.7</v>
      </c>
      <c r="S52" s="242">
        <f t="shared" si="16"/>
        <v>111638.40185100002</v>
      </c>
    </row>
    <row r="53" spans="13:19">
      <c r="M53" s="237">
        <v>44883</v>
      </c>
      <c r="N53" s="238">
        <v>113.49810000000002</v>
      </c>
      <c r="O53" s="238">
        <v>0</v>
      </c>
      <c r="P53" s="238">
        <v>0</v>
      </c>
      <c r="Q53" s="238">
        <v>113.05615923800003</v>
      </c>
      <c r="R53" s="241">
        <f t="shared" si="15"/>
        <v>0</v>
      </c>
      <c r="S53" s="242">
        <f t="shared" si="16"/>
        <v>113056.15923800004</v>
      </c>
    </row>
    <row r="54" spans="13:19">
      <c r="M54" s="237">
        <v>44884</v>
      </c>
      <c r="N54" s="238">
        <v>109.99980000000001</v>
      </c>
      <c r="O54" s="238">
        <v>6.2100000000000002E-2</v>
      </c>
      <c r="P54" s="238">
        <v>6.2100000000000002E-2</v>
      </c>
      <c r="Q54" s="238">
        <v>109.58094574499999</v>
      </c>
      <c r="R54" s="241">
        <f t="shared" si="15"/>
        <v>62.1</v>
      </c>
      <c r="S54" s="242">
        <f t="shared" si="16"/>
        <v>109580.94574499999</v>
      </c>
    </row>
    <row r="55" spans="13:19">
      <c r="M55" s="237">
        <v>44885</v>
      </c>
      <c r="N55" s="238">
        <v>110.538</v>
      </c>
      <c r="O55" s="238">
        <v>2.07E-2</v>
      </c>
      <c r="P55" s="238">
        <v>2.07E-2</v>
      </c>
      <c r="Q55" s="238">
        <v>110.11579397900003</v>
      </c>
      <c r="R55" s="241">
        <f t="shared" si="15"/>
        <v>20.7</v>
      </c>
      <c r="S55" s="242">
        <f t="shared" si="16"/>
        <v>110115.79397900004</v>
      </c>
    </row>
    <row r="56" spans="13:19">
      <c r="M56" s="237">
        <v>44886</v>
      </c>
      <c r="N56" s="238">
        <v>101.6991</v>
      </c>
      <c r="O56" s="238">
        <v>0</v>
      </c>
      <c r="P56" s="238">
        <v>0</v>
      </c>
      <c r="Q56" s="238">
        <v>101.33317092499998</v>
      </c>
      <c r="R56" s="241">
        <f t="shared" si="15"/>
        <v>0</v>
      </c>
      <c r="S56" s="242">
        <f t="shared" si="16"/>
        <v>101333.17092499997</v>
      </c>
    </row>
    <row r="57" spans="13:19">
      <c r="M57" s="237">
        <v>44887</v>
      </c>
      <c r="N57" s="238">
        <v>97.86960000000002</v>
      </c>
      <c r="O57" s="238">
        <v>4.1399999999999999E-2</v>
      </c>
      <c r="P57" s="238">
        <v>4.1399999999999999E-2</v>
      </c>
      <c r="Q57" s="238">
        <v>97.520748880999989</v>
      </c>
      <c r="R57" s="241">
        <f t="shared" si="15"/>
        <v>41.4</v>
      </c>
      <c r="S57" s="242">
        <f t="shared" si="16"/>
        <v>97520.748880999992</v>
      </c>
    </row>
    <row r="58" spans="13:19">
      <c r="M58" s="237">
        <v>44888</v>
      </c>
      <c r="N58" s="238">
        <v>111.40740000000001</v>
      </c>
      <c r="O58" s="238">
        <v>2.07E-2</v>
      </c>
      <c r="P58" s="238">
        <v>2.07E-2</v>
      </c>
      <c r="Q58" s="238">
        <v>110.97964921100001</v>
      </c>
      <c r="R58" s="241">
        <f t="shared" si="15"/>
        <v>20.7</v>
      </c>
      <c r="S58" s="242">
        <f t="shared" si="16"/>
        <v>110979.64921100001</v>
      </c>
    </row>
    <row r="59" spans="13:19">
      <c r="M59" s="237">
        <v>44889</v>
      </c>
      <c r="N59" s="238">
        <v>106.64640000000001</v>
      </c>
      <c r="O59" s="238">
        <v>8.2799999999999999E-2</v>
      </c>
      <c r="P59" s="238">
        <v>8.2799999999999999E-2</v>
      </c>
      <c r="Q59" s="238">
        <v>106.24704799900002</v>
      </c>
      <c r="R59" s="241">
        <f t="shared" si="15"/>
        <v>82.8</v>
      </c>
      <c r="S59" s="242">
        <f t="shared" si="16"/>
        <v>106247.04799900002</v>
      </c>
    </row>
    <row r="60" spans="13:19">
      <c r="M60" s="237">
        <v>44890</v>
      </c>
      <c r="N60" s="238">
        <v>108.38520000000001</v>
      </c>
      <c r="O60" s="238">
        <v>6.2100000000000002E-2</v>
      </c>
      <c r="P60" s="238">
        <v>6.2100000000000002E-2</v>
      </c>
      <c r="Q60" s="238">
        <v>107.97661072800001</v>
      </c>
      <c r="R60" s="241">
        <f t="shared" si="15"/>
        <v>62.1</v>
      </c>
      <c r="S60" s="242">
        <f t="shared" si="16"/>
        <v>107976.61072800001</v>
      </c>
    </row>
    <row r="61" spans="13:19">
      <c r="M61" s="237">
        <v>44891</v>
      </c>
      <c r="N61" s="238">
        <v>111.5316</v>
      </c>
      <c r="O61" s="238">
        <v>2.07E-2</v>
      </c>
      <c r="P61" s="238">
        <v>2.07E-2</v>
      </c>
      <c r="Q61" s="238">
        <v>111.10221215099999</v>
      </c>
      <c r="R61" s="241">
        <f t="shared" si="15"/>
        <v>20.7</v>
      </c>
      <c r="S61" s="242">
        <f t="shared" si="16"/>
        <v>111102.21215099999</v>
      </c>
    </row>
    <row r="62" spans="13:19">
      <c r="M62" s="237">
        <v>44892</v>
      </c>
      <c r="N62" s="238">
        <v>111.65580000000001</v>
      </c>
      <c r="O62" s="238">
        <v>4.1399999999999999E-2</v>
      </c>
      <c r="P62" s="238">
        <v>4.1399999999999999E-2</v>
      </c>
      <c r="Q62" s="238">
        <v>111.22658694300002</v>
      </c>
      <c r="R62" s="241">
        <f t="shared" si="15"/>
        <v>41.4</v>
      </c>
      <c r="S62" s="242">
        <f t="shared" si="16"/>
        <v>111226.58694300002</v>
      </c>
    </row>
    <row r="63" spans="13:19">
      <c r="M63" s="237">
        <v>44893</v>
      </c>
      <c r="N63" s="238">
        <v>111.6558</v>
      </c>
      <c r="O63" s="238">
        <v>2.07E-2</v>
      </c>
      <c r="P63" s="238">
        <v>2.07E-2</v>
      </c>
      <c r="Q63" s="238">
        <v>111.22643024300001</v>
      </c>
      <c r="R63" s="241">
        <f t="shared" si="15"/>
        <v>20.7</v>
      </c>
      <c r="S63" s="242">
        <f t="shared" si="16"/>
        <v>111226.43024300001</v>
      </c>
    </row>
    <row r="64" spans="13:19">
      <c r="M64" s="237">
        <v>44894</v>
      </c>
      <c r="N64" s="238">
        <v>111.40740000000001</v>
      </c>
      <c r="O64" s="238">
        <v>2.07E-2</v>
      </c>
      <c r="P64" s="238">
        <v>2.07E-2</v>
      </c>
      <c r="Q64" s="238">
        <v>110.98054978800002</v>
      </c>
      <c r="R64" s="241">
        <f t="shared" si="15"/>
        <v>20.7</v>
      </c>
      <c r="S64" s="242">
        <f t="shared" si="16"/>
        <v>110980.54978800002</v>
      </c>
    </row>
    <row r="65" spans="13:19">
      <c r="M65" s="237">
        <v>44895</v>
      </c>
      <c r="N65" s="238">
        <v>109.81349999999999</v>
      </c>
      <c r="O65" s="238">
        <v>2.07E-2</v>
      </c>
      <c r="P65" s="238">
        <v>2.07E-2</v>
      </c>
      <c r="Q65" s="238">
        <v>109.39833646900001</v>
      </c>
      <c r="R65" s="241">
        <f t="shared" si="15"/>
        <v>20.7</v>
      </c>
      <c r="S65" s="242">
        <f t="shared" si="16"/>
        <v>109398.33646900002</v>
      </c>
    </row>
    <row r="66" spans="13:19">
      <c r="M66" s="235" t="s">
        <v>156</v>
      </c>
      <c r="N66" s="239">
        <f>SUM(N36:N65)</f>
        <v>3339.1169999999997</v>
      </c>
      <c r="O66" s="239">
        <f t="shared" ref="O66:Q66" si="17">SUM(O36:O65)</f>
        <v>0.7452000000000002</v>
      </c>
      <c r="P66" s="239">
        <f t="shared" si="17"/>
        <v>0.7452000000000002</v>
      </c>
      <c r="Q66" s="239">
        <f t="shared" si="17"/>
        <v>3326.2168870740006</v>
      </c>
      <c r="R66" s="241">
        <f t="shared" si="15"/>
        <v>745.20000000000016</v>
      </c>
      <c r="S66" s="242">
        <f t="shared" si="16"/>
        <v>3326216.8870740007</v>
      </c>
    </row>
  </sheetData>
  <mergeCells count="3">
    <mergeCell ref="B6:C6"/>
    <mergeCell ref="O12:P12"/>
    <mergeCell ref="Q12:R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69D93-03B7-4024-85AC-73256EB8D6C7}">
  <dimension ref="B2:R32"/>
  <sheetViews>
    <sheetView topLeftCell="A7" zoomScale="85" zoomScaleNormal="85" workbookViewId="0">
      <selection activeCell="D4" sqref="D4"/>
    </sheetView>
  </sheetViews>
  <sheetFormatPr defaultColWidth="9" defaultRowHeight="11.4"/>
  <cols>
    <col min="1" max="1" width="4.5" style="34" customWidth="1"/>
    <col min="2" max="2" width="29.8984375" style="34" customWidth="1"/>
    <col min="3" max="3" width="20.09765625" style="34" customWidth="1"/>
    <col min="4" max="4" width="22.3984375" style="34" customWidth="1"/>
    <col min="5" max="5" width="23.09765625" style="34" customWidth="1"/>
    <col min="6" max="6" width="17.3984375" style="34" customWidth="1"/>
    <col min="7" max="7" width="21.5" style="34" bestFit="1" customWidth="1"/>
    <col min="8" max="8" width="14.09765625" style="34" customWidth="1"/>
    <col min="9" max="9" width="16.09765625" style="34" customWidth="1"/>
    <col min="10" max="10" width="10.3984375" style="34" customWidth="1"/>
    <col min="11" max="11" width="13.3984375" style="34" customWidth="1"/>
    <col min="12" max="12" width="11.3984375" style="34" customWidth="1"/>
    <col min="13" max="15" width="13.59765625" style="34" bestFit="1" customWidth="1"/>
    <col min="16" max="16" width="9.8984375" style="34" customWidth="1"/>
    <col min="17" max="17" width="10.3984375" style="34" customWidth="1"/>
    <col min="18" max="18" width="10.8984375" style="34" customWidth="1"/>
    <col min="19" max="19" width="9.09765625" style="34" bestFit="1" customWidth="1"/>
    <col min="20" max="20" width="9.8984375" style="34" bestFit="1" customWidth="1"/>
    <col min="21" max="21" width="11.8984375" style="34" customWidth="1"/>
    <col min="22" max="22" width="11.09765625" style="34" customWidth="1"/>
    <col min="23" max="16384" width="9" style="34"/>
  </cols>
  <sheetData>
    <row r="2" spans="2:12" ht="22.8">
      <c r="B2" s="119" t="s">
        <v>45</v>
      </c>
      <c r="C2" s="119" t="s">
        <v>54</v>
      </c>
      <c r="D2" s="39" t="s">
        <v>47</v>
      </c>
      <c r="E2" s="39" t="s">
        <v>46</v>
      </c>
    </row>
    <row r="3" spans="2:12" ht="24">
      <c r="B3" s="121" t="s">
        <v>56</v>
      </c>
      <c r="C3" s="119" t="s">
        <v>53</v>
      </c>
      <c r="D3" s="122">
        <f>C27</f>
        <v>261179.57142857142</v>
      </c>
      <c r="E3" s="39" t="s">
        <v>89</v>
      </c>
    </row>
    <row r="4" spans="2:12" ht="34.200000000000003">
      <c r="B4" s="119" t="s">
        <v>50</v>
      </c>
      <c r="C4" s="119" t="s">
        <v>52</v>
      </c>
      <c r="D4" s="122">
        <v>68600</v>
      </c>
      <c r="E4" s="39" t="s">
        <v>48</v>
      </c>
    </row>
    <row r="5" spans="2:12" ht="45.6">
      <c r="B5" s="119" t="s">
        <v>58</v>
      </c>
      <c r="C5" s="119" t="s">
        <v>51</v>
      </c>
      <c r="D5" s="119" t="s">
        <v>103</v>
      </c>
      <c r="E5" s="39" t="s">
        <v>49</v>
      </c>
    </row>
    <row r="6" spans="2:12">
      <c r="B6" s="120"/>
      <c r="C6" s="120"/>
      <c r="D6" s="120"/>
      <c r="H6" s="123"/>
      <c r="K6" s="123"/>
      <c r="L6" s="123"/>
    </row>
    <row r="7" spans="2:12">
      <c r="B7" s="120"/>
      <c r="C7" s="120"/>
      <c r="D7" s="120"/>
      <c r="H7" s="123"/>
      <c r="K7" s="123"/>
      <c r="L7" s="123"/>
    </row>
    <row r="8" spans="2:12">
      <c r="B8" s="120" t="s">
        <v>57</v>
      </c>
      <c r="H8" s="123"/>
      <c r="K8" s="123"/>
      <c r="L8" s="123"/>
    </row>
    <row r="9" spans="2:12">
      <c r="B9" s="201">
        <v>44869</v>
      </c>
      <c r="C9" s="201">
        <v>44926</v>
      </c>
      <c r="D9" s="39" t="s">
        <v>107</v>
      </c>
      <c r="E9" s="39" t="s">
        <v>108</v>
      </c>
      <c r="F9" s="39" t="s">
        <v>110</v>
      </c>
      <c r="G9" s="39" t="s">
        <v>109</v>
      </c>
      <c r="H9" s="123"/>
      <c r="K9" s="123"/>
      <c r="L9" s="123"/>
    </row>
    <row r="10" spans="2:12">
      <c r="B10" s="201">
        <v>44927</v>
      </c>
      <c r="C10" s="201">
        <v>45138</v>
      </c>
      <c r="D10" s="202">
        <f>D3*($C$10-$B$9+1)/365</f>
        <v>193201.32681017611</v>
      </c>
      <c r="E10" s="202">
        <f>F26*($C$10-$B$9)/365</f>
        <v>194177.88688845403</v>
      </c>
      <c r="F10" s="202">
        <f>(G26+H26)*($C$10-$B$9)/365</f>
        <v>1691.9718148972604</v>
      </c>
      <c r="G10" s="202">
        <f>D4*($C$10-$B$9)/365</f>
        <v>50557.260273972606</v>
      </c>
      <c r="K10" s="123"/>
      <c r="L10" s="123"/>
    </row>
    <row r="11" spans="2:12">
      <c r="B11" s="34">
        <f>C10-B9</f>
        <v>269</v>
      </c>
      <c r="H11" s="123"/>
      <c r="K11" s="123"/>
      <c r="L11" s="123"/>
    </row>
    <row r="12" spans="2:12" ht="16.2">
      <c r="L12" s="124"/>
    </row>
    <row r="14" spans="2:12" ht="18" customHeight="1" thickBot="1">
      <c r="B14" s="233" t="s">
        <v>2</v>
      </c>
      <c r="C14" s="234"/>
    </row>
    <row r="15" spans="2:12" ht="22.8">
      <c r="B15" s="8" t="s">
        <v>1</v>
      </c>
      <c r="C15" s="125" t="s">
        <v>4</v>
      </c>
      <c r="E15" s="74" t="s">
        <v>1</v>
      </c>
      <c r="F15" s="126" t="s">
        <v>12</v>
      </c>
      <c r="G15" s="127" t="s">
        <v>13</v>
      </c>
      <c r="H15" s="126" t="s">
        <v>15</v>
      </c>
      <c r="I15" s="128" t="s">
        <v>14</v>
      </c>
    </row>
    <row r="16" spans="2:12" ht="13.8">
      <c r="B16" s="75"/>
      <c r="C16" s="129" t="s">
        <v>44</v>
      </c>
      <c r="E16" s="130"/>
      <c r="F16" s="131" t="s">
        <v>44</v>
      </c>
      <c r="G16" s="131" t="s">
        <v>44</v>
      </c>
      <c r="H16" s="131" t="s">
        <v>44</v>
      </c>
      <c r="I16" s="132" t="s">
        <v>44</v>
      </c>
    </row>
    <row r="17" spans="2:18" ht="13.2">
      <c r="B17" s="216" t="s">
        <v>140</v>
      </c>
      <c r="C17" s="217">
        <v>248427</v>
      </c>
      <c r="E17" s="144" t="str">
        <f>B17</f>
        <v>01/08/2022-31/07/2023</v>
      </c>
      <c r="F17" s="143">
        <v>250723</v>
      </c>
      <c r="G17" s="143">
        <v>2295.7981875</v>
      </c>
      <c r="H17" s="143">
        <v>0</v>
      </c>
      <c r="I17" s="143">
        <v>248427</v>
      </c>
      <c r="J17" s="76"/>
      <c r="K17" s="76"/>
      <c r="L17" s="76"/>
      <c r="M17" s="76"/>
    </row>
    <row r="18" spans="2:18" ht="13.2">
      <c r="B18" s="141" t="s">
        <v>141</v>
      </c>
      <c r="C18" s="139">
        <v>252778</v>
      </c>
      <c r="E18" s="144" t="str">
        <f t="shared" ref="E18:E23" si="0">B18</f>
        <v>01/08/2023-31/07/2024</v>
      </c>
      <c r="F18" s="143">
        <v>255074</v>
      </c>
      <c r="G18" s="143">
        <v>2295.7981875</v>
      </c>
      <c r="H18" s="143">
        <v>0</v>
      </c>
      <c r="I18" s="143">
        <v>252778</v>
      </c>
      <c r="J18" s="76"/>
      <c r="K18" s="76"/>
      <c r="L18" s="76"/>
      <c r="M18" s="76"/>
    </row>
    <row r="19" spans="2:18" ht="13.2">
      <c r="B19" s="141" t="s">
        <v>142</v>
      </c>
      <c r="C19" s="139">
        <v>257056</v>
      </c>
      <c r="E19" s="144" t="str">
        <f t="shared" si="0"/>
        <v>01/08/2024-31/07/2025</v>
      </c>
      <c r="F19" s="143">
        <v>259352</v>
      </c>
      <c r="G19" s="143">
        <v>2295.7981875</v>
      </c>
      <c r="H19" s="143">
        <v>0</v>
      </c>
      <c r="I19" s="143">
        <v>257056</v>
      </c>
      <c r="J19" s="76"/>
      <c r="K19" s="76"/>
      <c r="L19" s="76"/>
      <c r="M19" s="76"/>
    </row>
    <row r="20" spans="2:18" ht="13.2">
      <c r="B20" s="141" t="s">
        <v>143</v>
      </c>
      <c r="C20" s="139">
        <v>261275</v>
      </c>
      <c r="E20" s="144" t="str">
        <f t="shared" si="0"/>
        <v>01/08/2025-31/07/2026</v>
      </c>
      <c r="F20" s="143">
        <v>263571</v>
      </c>
      <c r="G20" s="143">
        <v>2295.7981875</v>
      </c>
      <c r="H20" s="143">
        <v>0</v>
      </c>
      <c r="I20" s="143">
        <v>261275</v>
      </c>
      <c r="J20" s="76"/>
      <c r="K20" s="76"/>
      <c r="L20" s="76"/>
      <c r="M20" s="76"/>
      <c r="N20" s="123"/>
      <c r="O20" s="123"/>
      <c r="P20" s="123"/>
      <c r="Q20" s="123"/>
      <c r="R20" s="123"/>
    </row>
    <row r="21" spans="2:18" ht="13.2">
      <c r="B21" s="141" t="s">
        <v>144</v>
      </c>
      <c r="C21" s="139">
        <v>265447</v>
      </c>
      <c r="E21" s="144" t="str">
        <f t="shared" si="0"/>
        <v>01/08/2026-31/07/2027</v>
      </c>
      <c r="F21" s="143">
        <v>267743</v>
      </c>
      <c r="G21" s="143">
        <v>2295.7981875</v>
      </c>
      <c r="H21" s="143">
        <v>0</v>
      </c>
      <c r="I21" s="143">
        <v>265447</v>
      </c>
      <c r="J21" s="76"/>
      <c r="K21" s="76"/>
      <c r="L21" s="76"/>
      <c r="M21" s="76"/>
    </row>
    <row r="22" spans="2:18" ht="13.2">
      <c r="B22" s="141" t="s">
        <v>145</v>
      </c>
      <c r="C22" s="139">
        <v>269583</v>
      </c>
      <c r="E22" s="144" t="str">
        <f t="shared" si="0"/>
        <v>01/08/2027-31/07/2028</v>
      </c>
      <c r="F22" s="143">
        <v>271879</v>
      </c>
      <c r="G22" s="143">
        <v>2295.7981875</v>
      </c>
      <c r="H22" s="143">
        <v>0</v>
      </c>
      <c r="I22" s="143">
        <v>269583</v>
      </c>
      <c r="J22" s="76"/>
      <c r="K22" s="76"/>
      <c r="L22" s="76"/>
      <c r="M22" s="76"/>
      <c r="N22" s="123"/>
      <c r="O22" s="123"/>
      <c r="P22" s="123"/>
      <c r="Q22" s="123"/>
      <c r="R22" s="123"/>
    </row>
    <row r="23" spans="2:18" ht="13.2">
      <c r="B23" s="141" t="s">
        <v>146</v>
      </c>
      <c r="C23" s="139">
        <v>273691</v>
      </c>
      <c r="E23" s="144" t="str">
        <f t="shared" si="0"/>
        <v>01/08/2028-31/07/2029</v>
      </c>
      <c r="F23" s="143">
        <v>275987</v>
      </c>
      <c r="G23" s="143">
        <v>2295.7981875</v>
      </c>
      <c r="H23" s="143">
        <v>0</v>
      </c>
      <c r="I23" s="143">
        <v>273691</v>
      </c>
      <c r="J23" s="76"/>
      <c r="K23" s="76"/>
      <c r="L23" s="76"/>
      <c r="M23" s="76"/>
      <c r="N23" s="123"/>
      <c r="O23" s="123"/>
      <c r="P23" s="123"/>
      <c r="Q23" s="123"/>
      <c r="R23" s="123"/>
    </row>
    <row r="24" spans="2:18" ht="13.2">
      <c r="B24" s="141"/>
      <c r="C24" s="139"/>
      <c r="E24" s="144"/>
      <c r="F24" s="143"/>
      <c r="G24" s="145"/>
      <c r="H24" s="143"/>
      <c r="I24" s="146"/>
      <c r="J24" s="76"/>
      <c r="K24" s="76"/>
      <c r="L24" s="76"/>
      <c r="M24" s="76"/>
      <c r="N24" s="123"/>
      <c r="O24" s="123"/>
      <c r="P24" s="123"/>
      <c r="Q24" s="123"/>
      <c r="R24" s="123"/>
    </row>
    <row r="25" spans="2:18" ht="13.8">
      <c r="B25" s="140" t="s">
        <v>101</v>
      </c>
      <c r="C25" s="139">
        <v>1828257</v>
      </c>
      <c r="E25" s="133" t="s">
        <v>55</v>
      </c>
      <c r="F25" s="143">
        <v>1844329</v>
      </c>
      <c r="G25" s="143">
        <v>16070.587312500002</v>
      </c>
      <c r="H25" s="147">
        <v>0</v>
      </c>
      <c r="I25" s="143">
        <v>1828257</v>
      </c>
      <c r="J25" s="76"/>
    </row>
    <row r="26" spans="2:18" ht="20.399999999999999" customHeight="1" thickBot="1">
      <c r="B26" s="142" t="s">
        <v>3</v>
      </c>
      <c r="C26" s="139">
        <v>7</v>
      </c>
      <c r="E26" s="134" t="s">
        <v>16</v>
      </c>
      <c r="F26" s="143">
        <v>263475.57142857142</v>
      </c>
      <c r="G26" s="143">
        <v>2295.7981875</v>
      </c>
      <c r="H26" s="148">
        <v>0</v>
      </c>
      <c r="I26" s="143">
        <v>261179.57142857142</v>
      </c>
    </row>
    <row r="27" spans="2:18" ht="44.4" customHeight="1">
      <c r="B27" s="142" t="s">
        <v>102</v>
      </c>
      <c r="C27" s="139">
        <v>261179.57142857142</v>
      </c>
    </row>
    <row r="28" spans="2:18" ht="19.649999999999999" customHeight="1">
      <c r="B28" s="54" t="s">
        <v>17</v>
      </c>
    </row>
    <row r="29" spans="2:18">
      <c r="L29" s="135"/>
      <c r="M29" s="136"/>
      <c r="N29" s="137"/>
      <c r="O29" s="136"/>
      <c r="P29" s="138"/>
    </row>
    <row r="30" spans="2:18">
      <c r="L30" s="135"/>
      <c r="M30" s="136"/>
      <c r="N30" s="137"/>
      <c r="O30" s="136"/>
      <c r="P30" s="138"/>
    </row>
    <row r="31" spans="2:18">
      <c r="L31" s="135"/>
      <c r="M31" s="136"/>
      <c r="N31" s="137"/>
      <c r="O31" s="136"/>
      <c r="P31" s="138"/>
    </row>
    <row r="32" spans="2:18">
      <c r="L32" s="135"/>
      <c r="M32" s="136"/>
      <c r="N32" s="137"/>
      <c r="O32" s="136"/>
      <c r="P32" s="138"/>
    </row>
  </sheetData>
  <mergeCells count="1">
    <mergeCell ref="B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ER</vt:lpstr>
      <vt:lpstr>LFG Data</vt:lpstr>
      <vt:lpstr>Daily values for LFG flow, CH4</vt:lpstr>
      <vt:lpstr>Baseline Emission_LFG</vt:lpstr>
      <vt:lpstr>Electricity Generation</vt:lpstr>
      <vt:lpstr>Exante Values from PDD</vt:lpstr>
      <vt:lpstr>ER!_ftn1</vt:lpstr>
      <vt:lpstr>ER!_ftnref1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2008-01-21T09:31:42Z</cp:lastPrinted>
  <dcterms:created xsi:type="dcterms:W3CDTF">1996-12-17T01:32:42Z</dcterms:created>
  <dcterms:modified xsi:type="dcterms:W3CDTF">2025-03-10T09:27:03Z</dcterms:modified>
</cp:coreProperties>
</file>